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20730" windowHeight="11385" firstSheet="3" activeTab="3"/>
  </bookViews>
  <sheets>
    <sheet name="нормы" sheetId="1" state="hidden" r:id="rId1"/>
    <sheet name="расчет сентябрь" sheetId="2" state="hidden" r:id="rId2"/>
    <sheet name="расчет весна" sheetId="4" state="hidden" r:id="rId3"/>
    <sheet name="меню 1-4 класс (2)" sheetId="8" r:id="rId4"/>
    <sheet name="меню 5-11 класс перед" sheetId="7" r:id="rId5"/>
  </sheets>
  <definedNames>
    <definedName name="_GoBack" localSheetId="0">нормы!#REF!</definedName>
    <definedName name="_Hlk99779280" localSheetId="0">нормы!$M$3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9" i="7"/>
  <c r="P359"/>
  <c r="N359"/>
  <c r="L359"/>
  <c r="J359"/>
  <c r="H359"/>
  <c r="F359"/>
  <c r="S357"/>
  <c r="S359" s="1"/>
  <c r="R357"/>
  <c r="Q357"/>
  <c r="Q359" s="1"/>
  <c r="P357"/>
  <c r="O357"/>
  <c r="O359" s="1"/>
  <c r="N357"/>
  <c r="M357"/>
  <c r="M359" s="1"/>
  <c r="L357"/>
  <c r="K357"/>
  <c r="K359" s="1"/>
  <c r="J357"/>
  <c r="I357"/>
  <c r="I359" s="1"/>
  <c r="H357"/>
  <c r="G357"/>
  <c r="G359" s="1"/>
  <c r="F357"/>
  <c r="E357"/>
  <c r="E359" s="1"/>
  <c r="R356"/>
  <c r="P356"/>
  <c r="N356"/>
  <c r="L356"/>
  <c r="J356"/>
  <c r="H356"/>
  <c r="F356"/>
  <c r="S354"/>
  <c r="S356" s="1"/>
  <c r="R354"/>
  <c r="Q354"/>
  <c r="Q356" s="1"/>
  <c r="P354"/>
  <c r="O354"/>
  <c r="O356" s="1"/>
  <c r="N354"/>
  <c r="M354"/>
  <c r="M356" s="1"/>
  <c r="L354"/>
  <c r="K354"/>
  <c r="K356" s="1"/>
  <c r="J354"/>
  <c r="I354"/>
  <c r="I356" s="1"/>
  <c r="H354"/>
  <c r="G354"/>
  <c r="G356" s="1"/>
  <c r="F354"/>
  <c r="E354"/>
  <c r="E356" s="1"/>
  <c r="R353"/>
  <c r="P353"/>
  <c r="N353"/>
  <c r="L353"/>
  <c r="J353"/>
  <c r="H353"/>
  <c r="F353"/>
  <c r="S351"/>
  <c r="S360" s="1"/>
  <c r="S362" s="1"/>
  <c r="R351"/>
  <c r="R360" s="1"/>
  <c r="R362" s="1"/>
  <c r="Q351"/>
  <c r="Q360" s="1"/>
  <c r="Q362" s="1"/>
  <c r="P351"/>
  <c r="P360" s="1"/>
  <c r="P362" s="1"/>
  <c r="O351"/>
  <c r="O353" s="1"/>
  <c r="N351"/>
  <c r="N360" s="1"/>
  <c r="N362" s="1"/>
  <c r="M351"/>
  <c r="M360" s="1"/>
  <c r="M362" s="1"/>
  <c r="L351"/>
  <c r="L360" s="1"/>
  <c r="L362" s="1"/>
  <c r="K351"/>
  <c r="K353" s="1"/>
  <c r="J351"/>
  <c r="J360" s="1"/>
  <c r="J362" s="1"/>
  <c r="I351"/>
  <c r="I360" s="1"/>
  <c r="I362" s="1"/>
  <c r="H351"/>
  <c r="H360" s="1"/>
  <c r="H362" s="1"/>
  <c r="G351"/>
  <c r="G353" s="1"/>
  <c r="F351"/>
  <c r="F360" s="1"/>
  <c r="F362" s="1"/>
  <c r="E351"/>
  <c r="E360" s="1"/>
  <c r="E362" s="1"/>
  <c r="S347"/>
  <c r="R347"/>
  <c r="Q347"/>
  <c r="P347"/>
  <c r="O347"/>
  <c r="N347"/>
  <c r="M347"/>
  <c r="L347"/>
  <c r="K347"/>
  <c r="J347"/>
  <c r="I347"/>
  <c r="H347"/>
  <c r="G347"/>
  <c r="F347"/>
  <c r="E347"/>
  <c r="D347"/>
  <c r="S342"/>
  <c r="R342"/>
  <c r="Q342"/>
  <c r="P342"/>
  <c r="O342"/>
  <c r="N342"/>
  <c r="M342"/>
  <c r="L342"/>
  <c r="K342"/>
  <c r="J342"/>
  <c r="I342"/>
  <c r="H342"/>
  <c r="G342"/>
  <c r="F342"/>
  <c r="E342"/>
  <c r="D342"/>
  <c r="S332"/>
  <c r="R332"/>
  <c r="Q332"/>
  <c r="P332"/>
  <c r="O332"/>
  <c r="N332"/>
  <c r="M332"/>
  <c r="L332"/>
  <c r="K332"/>
  <c r="J332"/>
  <c r="I332"/>
  <c r="H332"/>
  <c r="G332"/>
  <c r="F332"/>
  <c r="E332"/>
  <c r="D332"/>
  <c r="Q313"/>
  <c r="M313"/>
  <c r="I313"/>
  <c r="E313"/>
  <c r="S312"/>
  <c r="S313" s="1"/>
  <c r="R312"/>
  <c r="R313" s="1"/>
  <c r="Q312"/>
  <c r="P312"/>
  <c r="P313" s="1"/>
  <c r="O312"/>
  <c r="O313" s="1"/>
  <c r="N312"/>
  <c r="N313" s="1"/>
  <c r="M312"/>
  <c r="L312"/>
  <c r="L313" s="1"/>
  <c r="K312"/>
  <c r="K313" s="1"/>
  <c r="J312"/>
  <c r="J313" s="1"/>
  <c r="I312"/>
  <c r="H312"/>
  <c r="H313" s="1"/>
  <c r="G312"/>
  <c r="G313" s="1"/>
  <c r="F312"/>
  <c r="F313" s="1"/>
  <c r="E312"/>
  <c r="D312"/>
  <c r="P308"/>
  <c r="L308"/>
  <c r="H308"/>
  <c r="S307"/>
  <c r="S308" s="1"/>
  <c r="R307"/>
  <c r="R308" s="1"/>
  <c r="Q307"/>
  <c r="Q308" s="1"/>
  <c r="P307"/>
  <c r="O307"/>
  <c r="O308" s="1"/>
  <c r="N307"/>
  <c r="N308" s="1"/>
  <c r="M307"/>
  <c r="M308" s="1"/>
  <c r="L307"/>
  <c r="K307"/>
  <c r="K308" s="1"/>
  <c r="J307"/>
  <c r="J308" s="1"/>
  <c r="I307"/>
  <c r="I308" s="1"/>
  <c r="H307"/>
  <c r="G307"/>
  <c r="G308" s="1"/>
  <c r="F307"/>
  <c r="F308" s="1"/>
  <c r="E307"/>
  <c r="E308" s="1"/>
  <c r="D307"/>
  <c r="S298"/>
  <c r="O298"/>
  <c r="K298"/>
  <c r="G298"/>
  <c r="S297"/>
  <c r="R297"/>
  <c r="R298" s="1"/>
  <c r="Q297"/>
  <c r="Q298" s="1"/>
  <c r="P297"/>
  <c r="P298" s="1"/>
  <c r="O297"/>
  <c r="N297"/>
  <c r="N298" s="1"/>
  <c r="M297"/>
  <c r="M298" s="1"/>
  <c r="L297"/>
  <c r="L298" s="1"/>
  <c r="K297"/>
  <c r="J297"/>
  <c r="J298" s="1"/>
  <c r="I297"/>
  <c r="I298" s="1"/>
  <c r="H297"/>
  <c r="H298" s="1"/>
  <c r="G297"/>
  <c r="F297"/>
  <c r="F298" s="1"/>
  <c r="E297"/>
  <c r="E298" s="1"/>
  <c r="D297"/>
  <c r="R275"/>
  <c r="N275"/>
  <c r="J275"/>
  <c r="F275"/>
  <c r="S274"/>
  <c r="S275" s="1"/>
  <c r="R274"/>
  <c r="R276" s="1"/>
  <c r="R278" s="1"/>
  <c r="Q274"/>
  <c r="Q276" s="1"/>
  <c r="Q278" s="1"/>
  <c r="P274"/>
  <c r="P276" s="1"/>
  <c r="P278" s="1"/>
  <c r="O274"/>
  <c r="O275" s="1"/>
  <c r="N274"/>
  <c r="N276" s="1"/>
  <c r="N278" s="1"/>
  <c r="M274"/>
  <c r="M276" s="1"/>
  <c r="M278" s="1"/>
  <c r="L274"/>
  <c r="L276" s="1"/>
  <c r="L278" s="1"/>
  <c r="K274"/>
  <c r="K275" s="1"/>
  <c r="J274"/>
  <c r="J276" s="1"/>
  <c r="J278" s="1"/>
  <c r="I274"/>
  <c r="I276" s="1"/>
  <c r="I278" s="1"/>
  <c r="H274"/>
  <c r="H276" s="1"/>
  <c r="H278" s="1"/>
  <c r="G274"/>
  <c r="G275" s="1"/>
  <c r="F274"/>
  <c r="F276" s="1"/>
  <c r="F278" s="1"/>
  <c r="E274"/>
  <c r="E276" s="1"/>
  <c r="E278" s="1"/>
  <c r="D274"/>
  <c r="Q270"/>
  <c r="M270"/>
  <c r="I270"/>
  <c r="E270"/>
  <c r="S269"/>
  <c r="S270" s="1"/>
  <c r="R269"/>
  <c r="R270" s="1"/>
  <c r="Q269"/>
  <c r="P269"/>
  <c r="P270" s="1"/>
  <c r="O269"/>
  <c r="O270" s="1"/>
  <c r="N269"/>
  <c r="N270" s="1"/>
  <c r="M269"/>
  <c r="L269"/>
  <c r="L270" s="1"/>
  <c r="K269"/>
  <c r="K270" s="1"/>
  <c r="J269"/>
  <c r="J270" s="1"/>
  <c r="I269"/>
  <c r="H269"/>
  <c r="H270" s="1"/>
  <c r="G269"/>
  <c r="G270" s="1"/>
  <c r="F269"/>
  <c r="F270" s="1"/>
  <c r="E269"/>
  <c r="D269"/>
  <c r="P260"/>
  <c r="L260"/>
  <c r="H260"/>
  <c r="S259"/>
  <c r="S260" s="1"/>
  <c r="R259"/>
  <c r="R260" s="1"/>
  <c r="Q259"/>
  <c r="Q260" s="1"/>
  <c r="P259"/>
  <c r="O259"/>
  <c r="O276" s="1"/>
  <c r="O278" s="1"/>
  <c r="N259"/>
  <c r="N260" s="1"/>
  <c r="M259"/>
  <c r="M260" s="1"/>
  <c r="L259"/>
  <c r="K259"/>
  <c r="K260" s="1"/>
  <c r="J259"/>
  <c r="J260" s="1"/>
  <c r="I259"/>
  <c r="I260" s="1"/>
  <c r="H259"/>
  <c r="G259"/>
  <c r="G276" s="1"/>
  <c r="G278" s="1"/>
  <c r="F259"/>
  <c r="F260" s="1"/>
  <c r="E259"/>
  <c r="E260" s="1"/>
  <c r="D259"/>
  <c r="Q242"/>
  <c r="M242"/>
  <c r="I242"/>
  <c r="E242"/>
  <c r="S241"/>
  <c r="S243" s="1"/>
  <c r="S245" s="1"/>
  <c r="R241"/>
  <c r="R242" s="1"/>
  <c r="Q241"/>
  <c r="Q243" s="1"/>
  <c r="Q245" s="1"/>
  <c r="P241"/>
  <c r="P243" s="1"/>
  <c r="P245" s="1"/>
  <c r="O241"/>
  <c r="O243" s="1"/>
  <c r="O245" s="1"/>
  <c r="N241"/>
  <c r="N242" s="1"/>
  <c r="M241"/>
  <c r="M243" s="1"/>
  <c r="M245" s="1"/>
  <c r="L241"/>
  <c r="L243" s="1"/>
  <c r="L245" s="1"/>
  <c r="K241"/>
  <c r="K243" s="1"/>
  <c r="K245" s="1"/>
  <c r="J241"/>
  <c r="J242" s="1"/>
  <c r="I241"/>
  <c r="I243" s="1"/>
  <c r="I245" s="1"/>
  <c r="H241"/>
  <c r="H243" s="1"/>
  <c r="H245" s="1"/>
  <c r="G241"/>
  <c r="G243" s="1"/>
  <c r="G245" s="1"/>
  <c r="F241"/>
  <c r="F242" s="1"/>
  <c r="E241"/>
  <c r="E243" s="1"/>
  <c r="E245" s="1"/>
  <c r="D241"/>
  <c r="P237"/>
  <c r="L237"/>
  <c r="H237"/>
  <c r="S236"/>
  <c r="S237" s="1"/>
  <c r="R236"/>
  <c r="R237" s="1"/>
  <c r="Q236"/>
  <c r="Q237" s="1"/>
  <c r="P236"/>
  <c r="O236"/>
  <c r="O237" s="1"/>
  <c r="N236"/>
  <c r="N237" s="1"/>
  <c r="M236"/>
  <c r="M237" s="1"/>
  <c r="L236"/>
  <c r="K236"/>
  <c r="K237" s="1"/>
  <c r="J236"/>
  <c r="J237" s="1"/>
  <c r="I236"/>
  <c r="I237" s="1"/>
  <c r="H236"/>
  <c r="G236"/>
  <c r="G237" s="1"/>
  <c r="F236"/>
  <c r="F237" s="1"/>
  <c r="E236"/>
  <c r="E237" s="1"/>
  <c r="D236"/>
  <c r="S227"/>
  <c r="O227"/>
  <c r="K227"/>
  <c r="G227"/>
  <c r="S226"/>
  <c r="R226"/>
  <c r="R227" s="1"/>
  <c r="Q226"/>
  <c r="Q227" s="1"/>
  <c r="P226"/>
  <c r="P227" s="1"/>
  <c r="O226"/>
  <c r="N226"/>
  <c r="N243" s="1"/>
  <c r="N245" s="1"/>
  <c r="M226"/>
  <c r="M227" s="1"/>
  <c r="L226"/>
  <c r="L227" s="1"/>
  <c r="K226"/>
  <c r="J226"/>
  <c r="J227" s="1"/>
  <c r="I226"/>
  <c r="I227" s="1"/>
  <c r="H226"/>
  <c r="H227" s="1"/>
  <c r="G226"/>
  <c r="F226"/>
  <c r="F243" s="1"/>
  <c r="F245" s="1"/>
  <c r="E226"/>
  <c r="E227" s="1"/>
  <c r="D226"/>
  <c r="S207"/>
  <c r="S209" s="1"/>
  <c r="S211" s="1"/>
  <c r="S193" s="1"/>
  <c r="R207"/>
  <c r="R209" s="1"/>
  <c r="R211" s="1"/>
  <c r="Q207"/>
  <c r="Q209" s="1"/>
  <c r="Q211" s="1"/>
  <c r="Q193" s="1"/>
  <c r="P207"/>
  <c r="P209" s="1"/>
  <c r="P211" s="1"/>
  <c r="O207"/>
  <c r="O209" s="1"/>
  <c r="O211" s="1"/>
  <c r="O193" s="1"/>
  <c r="N207"/>
  <c r="N209" s="1"/>
  <c r="N211" s="1"/>
  <c r="M207"/>
  <c r="M209" s="1"/>
  <c r="M211" s="1"/>
  <c r="M193" s="1"/>
  <c r="L207"/>
  <c r="L209" s="1"/>
  <c r="L211" s="1"/>
  <c r="K207"/>
  <c r="K209" s="1"/>
  <c r="K211" s="1"/>
  <c r="K193" s="1"/>
  <c r="J207"/>
  <c r="J209" s="1"/>
  <c r="J211" s="1"/>
  <c r="I207"/>
  <c r="I209" s="1"/>
  <c r="I211" s="1"/>
  <c r="I193" s="1"/>
  <c r="H207"/>
  <c r="H209" s="1"/>
  <c r="H211" s="1"/>
  <c r="G207"/>
  <c r="G209" s="1"/>
  <c r="G211" s="1"/>
  <c r="G193" s="1"/>
  <c r="F207"/>
  <c r="F209" s="1"/>
  <c r="F211" s="1"/>
  <c r="E207"/>
  <c r="E208" s="1"/>
  <c r="D207"/>
  <c r="S203"/>
  <c r="R203"/>
  <c r="Q203"/>
  <c r="P203"/>
  <c r="O203"/>
  <c r="N203"/>
  <c r="M203"/>
  <c r="L203"/>
  <c r="K203"/>
  <c r="J203"/>
  <c r="I203"/>
  <c r="H203"/>
  <c r="G203"/>
  <c r="F203"/>
  <c r="E203"/>
  <c r="D203"/>
  <c r="S192"/>
  <c r="R192"/>
  <c r="Q192"/>
  <c r="P192"/>
  <c r="O192"/>
  <c r="N192"/>
  <c r="M192"/>
  <c r="L192"/>
  <c r="K192"/>
  <c r="J192"/>
  <c r="I192"/>
  <c r="H192"/>
  <c r="G192"/>
  <c r="F192"/>
  <c r="E192"/>
  <c r="D192"/>
  <c r="S276" i="8"/>
  <c r="Q276"/>
  <c r="O276"/>
  <c r="M276"/>
  <c r="K276"/>
  <c r="I276"/>
  <c r="G276"/>
  <c r="T275"/>
  <c r="T276" s="1"/>
  <c r="S275"/>
  <c r="S277" s="1"/>
  <c r="S279" s="1"/>
  <c r="R275"/>
  <c r="R277" s="1"/>
  <c r="R279" s="1"/>
  <c r="Q275"/>
  <c r="Q277" s="1"/>
  <c r="Q279" s="1"/>
  <c r="P275"/>
  <c r="P276" s="1"/>
  <c r="O275"/>
  <c r="O277" s="1"/>
  <c r="O279" s="1"/>
  <c r="N275"/>
  <c r="N277" s="1"/>
  <c r="N279" s="1"/>
  <c r="M275"/>
  <c r="M277" s="1"/>
  <c r="M279" s="1"/>
  <c r="L275"/>
  <c r="L276" s="1"/>
  <c r="K275"/>
  <c r="K277" s="1"/>
  <c r="K279" s="1"/>
  <c r="J275"/>
  <c r="J277" s="1"/>
  <c r="J279" s="1"/>
  <c r="I275"/>
  <c r="I277" s="1"/>
  <c r="I279" s="1"/>
  <c r="H275"/>
  <c r="H276" s="1"/>
  <c r="G275"/>
  <c r="G277" s="1"/>
  <c r="G279" s="1"/>
  <c r="F275"/>
  <c r="F277" s="1"/>
  <c r="F279" s="1"/>
  <c r="E275"/>
  <c r="T271"/>
  <c r="R271"/>
  <c r="P271"/>
  <c r="N271"/>
  <c r="L271"/>
  <c r="J271"/>
  <c r="H271"/>
  <c r="F271"/>
  <c r="T270"/>
  <c r="S270"/>
  <c r="S271" s="1"/>
  <c r="R270"/>
  <c r="Q270"/>
  <c r="Q271" s="1"/>
  <c r="P270"/>
  <c r="O270"/>
  <c r="O271" s="1"/>
  <c r="N270"/>
  <c r="M270"/>
  <c r="M271" s="1"/>
  <c r="L270"/>
  <c r="K270"/>
  <c r="K271" s="1"/>
  <c r="J270"/>
  <c r="I270"/>
  <c r="I271" s="1"/>
  <c r="H270"/>
  <c r="G270"/>
  <c r="G271" s="1"/>
  <c r="F270"/>
  <c r="E270"/>
  <c r="S261"/>
  <c r="Q261"/>
  <c r="O261"/>
  <c r="M261"/>
  <c r="K261"/>
  <c r="I261"/>
  <c r="G261"/>
  <c r="T260"/>
  <c r="T261" s="1"/>
  <c r="S260"/>
  <c r="R260"/>
  <c r="R261" s="1"/>
  <c r="Q260"/>
  <c r="P260"/>
  <c r="P261" s="1"/>
  <c r="O260"/>
  <c r="N260"/>
  <c r="N261" s="1"/>
  <c r="M260"/>
  <c r="L260"/>
  <c r="L261" s="1"/>
  <c r="K260"/>
  <c r="J260"/>
  <c r="J261" s="1"/>
  <c r="I260"/>
  <c r="H260"/>
  <c r="H261" s="1"/>
  <c r="G260"/>
  <c r="F260"/>
  <c r="F261" s="1"/>
  <c r="E260"/>
  <c r="S245"/>
  <c r="Q245"/>
  <c r="O245"/>
  <c r="M245"/>
  <c r="K245"/>
  <c r="I245"/>
  <c r="G245"/>
  <c r="T244"/>
  <c r="T245" s="1"/>
  <c r="S244"/>
  <c r="S246" s="1"/>
  <c r="S248" s="1"/>
  <c r="R244"/>
  <c r="R246" s="1"/>
  <c r="R248" s="1"/>
  <c r="Q244"/>
  <c r="Q246" s="1"/>
  <c r="Q248" s="1"/>
  <c r="P244"/>
  <c r="P245" s="1"/>
  <c r="O244"/>
  <c r="O246" s="1"/>
  <c r="O248" s="1"/>
  <c r="N244"/>
  <c r="N246" s="1"/>
  <c r="N248" s="1"/>
  <c r="M244"/>
  <c r="M246" s="1"/>
  <c r="M248" s="1"/>
  <c r="L244"/>
  <c r="L245" s="1"/>
  <c r="K244"/>
  <c r="K246" s="1"/>
  <c r="K248" s="1"/>
  <c r="J244"/>
  <c r="J246" s="1"/>
  <c r="J248" s="1"/>
  <c r="I244"/>
  <c r="I246" s="1"/>
  <c r="I248" s="1"/>
  <c r="H244"/>
  <c r="H245" s="1"/>
  <c r="G244"/>
  <c r="G246" s="1"/>
  <c r="G248" s="1"/>
  <c r="F244"/>
  <c r="F246" s="1"/>
  <c r="F248" s="1"/>
  <c r="E244"/>
  <c r="F240"/>
  <c r="T239"/>
  <c r="S239"/>
  <c r="R239"/>
  <c r="Q239"/>
  <c r="P239"/>
  <c r="O239"/>
  <c r="N239"/>
  <c r="M239"/>
  <c r="L239"/>
  <c r="K239"/>
  <c r="J239"/>
  <c r="I239"/>
  <c r="H239"/>
  <c r="G239"/>
  <c r="F239"/>
  <c r="E239"/>
  <c r="S230"/>
  <c r="Q230"/>
  <c r="O230"/>
  <c r="M230"/>
  <c r="K230"/>
  <c r="I230"/>
  <c r="G230"/>
  <c r="T229"/>
  <c r="T230" s="1"/>
  <c r="S229"/>
  <c r="R229"/>
  <c r="R230" s="1"/>
  <c r="Q229"/>
  <c r="P229"/>
  <c r="P230" s="1"/>
  <c r="O229"/>
  <c r="N229"/>
  <c r="N230" s="1"/>
  <c r="M229"/>
  <c r="L229"/>
  <c r="L230" s="1"/>
  <c r="K229"/>
  <c r="J229"/>
  <c r="J230" s="1"/>
  <c r="I229"/>
  <c r="H229"/>
  <c r="H230" s="1"/>
  <c r="G229"/>
  <c r="F229"/>
  <c r="F230" s="1"/>
  <c r="E229"/>
  <c r="S213"/>
  <c r="O213"/>
  <c r="K213"/>
  <c r="G213"/>
  <c r="T212"/>
  <c r="T214" s="1"/>
  <c r="T216" s="1"/>
  <c r="S212"/>
  <c r="R212"/>
  <c r="R214" s="1"/>
  <c r="R216" s="1"/>
  <c r="Q212"/>
  <c r="Q214" s="1"/>
  <c r="Q216" s="1"/>
  <c r="P212"/>
  <c r="P213" s="1"/>
  <c r="O212"/>
  <c r="N212"/>
  <c r="N213" s="1"/>
  <c r="M212"/>
  <c r="M214" s="1"/>
  <c r="M216" s="1"/>
  <c r="L212"/>
  <c r="L213" s="1"/>
  <c r="K212"/>
  <c r="J212"/>
  <c r="J214" s="1"/>
  <c r="J216" s="1"/>
  <c r="I212"/>
  <c r="I214" s="1"/>
  <c r="I216" s="1"/>
  <c r="H212"/>
  <c r="H213" s="1"/>
  <c r="G212"/>
  <c r="F212"/>
  <c r="F213" s="1"/>
  <c r="E212"/>
  <c r="R208"/>
  <c r="N208"/>
  <c r="J208"/>
  <c r="F208"/>
  <c r="T207"/>
  <c r="T208" s="1"/>
  <c r="S207"/>
  <c r="S208" s="1"/>
  <c r="R207"/>
  <c r="Q207"/>
  <c r="Q208" s="1"/>
  <c r="P207"/>
  <c r="P208" s="1"/>
  <c r="O207"/>
  <c r="O208" s="1"/>
  <c r="N207"/>
  <c r="M207"/>
  <c r="M208" s="1"/>
  <c r="L207"/>
  <c r="L208" s="1"/>
  <c r="K207"/>
  <c r="K208" s="1"/>
  <c r="J207"/>
  <c r="I207"/>
  <c r="I208" s="1"/>
  <c r="H207"/>
  <c r="H208" s="1"/>
  <c r="G207"/>
  <c r="G208" s="1"/>
  <c r="F207"/>
  <c r="E207"/>
  <c r="Q197"/>
  <c r="M197"/>
  <c r="I197"/>
  <c r="T196"/>
  <c r="T197" s="1"/>
  <c r="S196"/>
  <c r="S214" s="1"/>
  <c r="S216" s="1"/>
  <c r="R196"/>
  <c r="R197" s="1"/>
  <c r="Q196"/>
  <c r="P196"/>
  <c r="P214" s="1"/>
  <c r="P216" s="1"/>
  <c r="O196"/>
  <c r="O197" s="1"/>
  <c r="N196"/>
  <c r="N197" s="1"/>
  <c r="M196"/>
  <c r="L196"/>
  <c r="L214" s="1"/>
  <c r="L216" s="1"/>
  <c r="K196"/>
  <c r="K214" s="1"/>
  <c r="K216" s="1"/>
  <c r="J196"/>
  <c r="J197" s="1"/>
  <c r="I196"/>
  <c r="H196"/>
  <c r="H214" s="1"/>
  <c r="H216" s="1"/>
  <c r="G196"/>
  <c r="G197" s="1"/>
  <c r="F196"/>
  <c r="F197" s="1"/>
  <c r="E196"/>
  <c r="R65" i="7"/>
  <c r="P65"/>
  <c r="N65"/>
  <c r="L65"/>
  <c r="J65"/>
  <c r="H65"/>
  <c r="F65"/>
  <c r="S64"/>
  <c r="S65" s="1"/>
  <c r="R64"/>
  <c r="Q64"/>
  <c r="Q66" s="1"/>
  <c r="Q68" s="1"/>
  <c r="Q51" s="1"/>
  <c r="P64"/>
  <c r="O64"/>
  <c r="O65" s="1"/>
  <c r="N64"/>
  <c r="M64"/>
  <c r="M66" s="1"/>
  <c r="M68" s="1"/>
  <c r="M51" s="1"/>
  <c r="L64"/>
  <c r="K64"/>
  <c r="K65" s="1"/>
  <c r="J64"/>
  <c r="I64"/>
  <c r="I66" s="1"/>
  <c r="I68" s="1"/>
  <c r="I51" s="1"/>
  <c r="H64"/>
  <c r="G64"/>
  <c r="G65" s="1"/>
  <c r="F64"/>
  <c r="E64"/>
  <c r="E66" s="1"/>
  <c r="E68" s="1"/>
  <c r="E51" s="1"/>
  <c r="D64"/>
  <c r="S60"/>
  <c r="Q60"/>
  <c r="O60"/>
  <c r="M60"/>
  <c r="K60"/>
  <c r="I60"/>
  <c r="G60"/>
  <c r="E60"/>
  <c r="S59"/>
  <c r="R59"/>
  <c r="R60" s="1"/>
  <c r="Q59"/>
  <c r="P59"/>
  <c r="P66" s="1"/>
  <c r="P68" s="1"/>
  <c r="O59"/>
  <c r="N59"/>
  <c r="N60" s="1"/>
  <c r="M59"/>
  <c r="L59"/>
  <c r="L66" s="1"/>
  <c r="L68" s="1"/>
  <c r="K59"/>
  <c r="J59"/>
  <c r="J60" s="1"/>
  <c r="I59"/>
  <c r="H59"/>
  <c r="H66" s="1"/>
  <c r="H68" s="1"/>
  <c r="G59"/>
  <c r="F59"/>
  <c r="F60" s="1"/>
  <c r="E59"/>
  <c r="D59"/>
  <c r="S50"/>
  <c r="R50"/>
  <c r="Q50"/>
  <c r="P50"/>
  <c r="O50"/>
  <c r="N50"/>
  <c r="M50"/>
  <c r="L50"/>
  <c r="K50"/>
  <c r="J50"/>
  <c r="I50"/>
  <c r="H50"/>
  <c r="G50"/>
  <c r="F50"/>
  <c r="E50"/>
  <c r="D50"/>
  <c r="E32"/>
  <c r="S31"/>
  <c r="R31"/>
  <c r="Q31"/>
  <c r="P31"/>
  <c r="O31"/>
  <c r="N31"/>
  <c r="M31"/>
  <c r="L31"/>
  <c r="K31"/>
  <c r="J31"/>
  <c r="I31"/>
  <c r="H31"/>
  <c r="G31"/>
  <c r="F31"/>
  <c r="E31"/>
  <c r="D31"/>
  <c r="P27"/>
  <c r="L27"/>
  <c r="H27"/>
  <c r="S26"/>
  <c r="S27" s="1"/>
  <c r="R26"/>
  <c r="R27" s="1"/>
  <c r="Q26"/>
  <c r="Q27" s="1"/>
  <c r="P26"/>
  <c r="O26"/>
  <c r="O27" s="1"/>
  <c r="N26"/>
  <c r="N27" s="1"/>
  <c r="M26"/>
  <c r="M27" s="1"/>
  <c r="L26"/>
  <c r="K26"/>
  <c r="K27" s="1"/>
  <c r="J26"/>
  <c r="J27" s="1"/>
  <c r="I26"/>
  <c r="I27" s="1"/>
  <c r="H26"/>
  <c r="G26"/>
  <c r="G27" s="1"/>
  <c r="F26"/>
  <c r="F27" s="1"/>
  <c r="E26"/>
  <c r="E27" s="1"/>
  <c r="D26"/>
  <c r="S14"/>
  <c r="R14"/>
  <c r="Q14"/>
  <c r="P14"/>
  <c r="O14"/>
  <c r="N14"/>
  <c r="M14"/>
  <c r="L14"/>
  <c r="K14"/>
  <c r="J14"/>
  <c r="I14"/>
  <c r="H14"/>
  <c r="G14"/>
  <c r="F14"/>
  <c r="E14"/>
  <c r="D14"/>
  <c r="T33" i="8"/>
  <c r="T35" s="1"/>
  <c r="Q33"/>
  <c r="Q35" s="1"/>
  <c r="P33"/>
  <c r="P35" s="1"/>
  <c r="M33"/>
  <c r="M35" s="1"/>
  <c r="L33"/>
  <c r="L35" s="1"/>
  <c r="I33"/>
  <c r="I35" s="1"/>
  <c r="H33"/>
  <c r="H35" s="1"/>
  <c r="T31"/>
  <c r="P31"/>
  <c r="L31"/>
  <c r="H31"/>
  <c r="T30"/>
  <c r="S30"/>
  <c r="S31" s="1"/>
  <c r="R30"/>
  <c r="R33" s="1"/>
  <c r="R35" s="1"/>
  <c r="Q30"/>
  <c r="Q31" s="1"/>
  <c r="P30"/>
  <c r="O30"/>
  <c r="O33" s="1"/>
  <c r="O35" s="1"/>
  <c r="N30"/>
  <c r="N33" s="1"/>
  <c r="N35" s="1"/>
  <c r="M30"/>
  <c r="M31" s="1"/>
  <c r="L30"/>
  <c r="K30"/>
  <c r="K33" s="1"/>
  <c r="K35" s="1"/>
  <c r="J30"/>
  <c r="J33" s="1"/>
  <c r="J35" s="1"/>
  <c r="I30"/>
  <c r="I31" s="1"/>
  <c r="H30"/>
  <c r="G30"/>
  <c r="G31" s="1"/>
  <c r="F30"/>
  <c r="F33" s="1"/>
  <c r="F35" s="1"/>
  <c r="E30"/>
  <c r="T119"/>
  <c r="P119"/>
  <c r="L119"/>
  <c r="H119"/>
  <c r="T118"/>
  <c r="S118"/>
  <c r="S119" s="1"/>
  <c r="R118"/>
  <c r="R119" s="1"/>
  <c r="Q118"/>
  <c r="Q119" s="1"/>
  <c r="P118"/>
  <c r="O118"/>
  <c r="O119" s="1"/>
  <c r="N118"/>
  <c r="N119" s="1"/>
  <c r="M118"/>
  <c r="M119" s="1"/>
  <c r="L118"/>
  <c r="K118"/>
  <c r="K119" s="1"/>
  <c r="J118"/>
  <c r="J119" s="1"/>
  <c r="I118"/>
  <c r="I119" s="1"/>
  <c r="H118"/>
  <c r="G118"/>
  <c r="G119" s="1"/>
  <c r="F118"/>
  <c r="F119" s="1"/>
  <c r="E118"/>
  <c r="T134"/>
  <c r="P134"/>
  <c r="L134"/>
  <c r="H134"/>
  <c r="T133"/>
  <c r="S133"/>
  <c r="S134" s="1"/>
  <c r="R133"/>
  <c r="R134" s="1"/>
  <c r="Q133"/>
  <c r="Q134" s="1"/>
  <c r="P133"/>
  <c r="O133"/>
  <c r="O134" s="1"/>
  <c r="N133"/>
  <c r="N134" s="1"/>
  <c r="M133"/>
  <c r="M134" s="1"/>
  <c r="L133"/>
  <c r="K133"/>
  <c r="K134" s="1"/>
  <c r="J133"/>
  <c r="J134" s="1"/>
  <c r="I133"/>
  <c r="I134" s="1"/>
  <c r="H133"/>
  <c r="G133"/>
  <c r="G134" s="1"/>
  <c r="F133"/>
  <c r="F134" s="1"/>
  <c r="E133"/>
  <c r="S129"/>
  <c r="Q129"/>
  <c r="O129"/>
  <c r="M129"/>
  <c r="K129"/>
  <c r="I129"/>
  <c r="G129"/>
  <c r="T128"/>
  <c r="T129" s="1"/>
  <c r="S128"/>
  <c r="R128"/>
  <c r="R129" s="1"/>
  <c r="Q128"/>
  <c r="P128"/>
  <c r="P129" s="1"/>
  <c r="O128"/>
  <c r="N128"/>
  <c r="N129" s="1"/>
  <c r="M128"/>
  <c r="L128"/>
  <c r="L129" s="1"/>
  <c r="K128"/>
  <c r="J128"/>
  <c r="J129" s="1"/>
  <c r="I128"/>
  <c r="H128"/>
  <c r="H129" s="1"/>
  <c r="G128"/>
  <c r="F128"/>
  <c r="F129" s="1"/>
  <c r="E128"/>
  <c r="G360" i="7" l="1"/>
  <c r="G362" s="1"/>
  <c r="K360"/>
  <c r="K362" s="1"/>
  <c r="O360"/>
  <c r="O362" s="1"/>
  <c r="E353"/>
  <c r="I353"/>
  <c r="M353"/>
  <c r="Q353"/>
  <c r="S353"/>
  <c r="K276"/>
  <c r="K278" s="1"/>
  <c r="S276"/>
  <c r="S278" s="1"/>
  <c r="G260"/>
  <c r="O260"/>
  <c r="E275"/>
  <c r="I275"/>
  <c r="M275"/>
  <c r="Q275"/>
  <c r="H275"/>
  <c r="L275"/>
  <c r="P275"/>
  <c r="J243"/>
  <c r="J245" s="1"/>
  <c r="R243"/>
  <c r="R245" s="1"/>
  <c r="F227"/>
  <c r="N227"/>
  <c r="H242"/>
  <c r="L242"/>
  <c r="P242"/>
  <c r="G242"/>
  <c r="K242"/>
  <c r="O242"/>
  <c r="S242"/>
  <c r="F193"/>
  <c r="J193"/>
  <c r="N193"/>
  <c r="R193"/>
  <c r="E209"/>
  <c r="E211" s="1"/>
  <c r="E193" s="1"/>
  <c r="H193"/>
  <c r="L193"/>
  <c r="P193"/>
  <c r="H277" i="8"/>
  <c r="H279" s="1"/>
  <c r="L277"/>
  <c r="L279" s="1"/>
  <c r="P277"/>
  <c r="P279" s="1"/>
  <c r="T277"/>
  <c r="T279" s="1"/>
  <c r="F276"/>
  <c r="J276"/>
  <c r="N276"/>
  <c r="R276"/>
  <c r="H246"/>
  <c r="H248" s="1"/>
  <c r="L246"/>
  <c r="L248" s="1"/>
  <c r="P246"/>
  <c r="P248" s="1"/>
  <c r="T246"/>
  <c r="T248" s="1"/>
  <c r="F245"/>
  <c r="J245"/>
  <c r="N245"/>
  <c r="R245"/>
  <c r="L197"/>
  <c r="J213"/>
  <c r="R213"/>
  <c r="G214"/>
  <c r="G216" s="1"/>
  <c r="O214"/>
  <c r="O216" s="1"/>
  <c r="K197"/>
  <c r="S197"/>
  <c r="I213"/>
  <c r="M213"/>
  <c r="Q213"/>
  <c r="F214"/>
  <c r="F216" s="1"/>
  <c r="N214"/>
  <c r="N216" s="1"/>
  <c r="H197"/>
  <c r="P197"/>
  <c r="T213"/>
  <c r="H51" i="7"/>
  <c r="L51"/>
  <c r="P51"/>
  <c r="G66"/>
  <c r="G68" s="1"/>
  <c r="G51" s="1"/>
  <c r="K66"/>
  <c r="K68" s="1"/>
  <c r="O66"/>
  <c r="O68" s="1"/>
  <c r="S66"/>
  <c r="S68" s="1"/>
  <c r="K51"/>
  <c r="O51"/>
  <c r="S51"/>
  <c r="H60"/>
  <c r="L60"/>
  <c r="P60"/>
  <c r="E65"/>
  <c r="I65"/>
  <c r="M65"/>
  <c r="Q65"/>
  <c r="F66"/>
  <c r="F68" s="1"/>
  <c r="J66"/>
  <c r="J68" s="1"/>
  <c r="J51" s="1"/>
  <c r="N66"/>
  <c r="N68" s="1"/>
  <c r="R66"/>
  <c r="R68" s="1"/>
  <c r="F51"/>
  <c r="N51"/>
  <c r="R51"/>
  <c r="K31" i="8"/>
  <c r="O31"/>
  <c r="F31"/>
  <c r="J31"/>
  <c r="N31"/>
  <c r="R31"/>
  <c r="G33"/>
  <c r="G35" s="1"/>
  <c r="S33"/>
  <c r="S35" s="1"/>
  <c r="T349"/>
  <c r="T351" s="1"/>
  <c r="Q349"/>
  <c r="Q351" s="1"/>
  <c r="P349"/>
  <c r="P351" s="1"/>
  <c r="M349"/>
  <c r="M351" s="1"/>
  <c r="L349"/>
  <c r="L351" s="1"/>
  <c r="I349"/>
  <c r="I351" s="1"/>
  <c r="H349"/>
  <c r="H351" s="1"/>
  <c r="T348"/>
  <c r="P348"/>
  <c r="L348"/>
  <c r="H348"/>
  <c r="T347"/>
  <c r="S347"/>
  <c r="S349" s="1"/>
  <c r="S351" s="1"/>
  <c r="R347"/>
  <c r="R349" s="1"/>
  <c r="R351" s="1"/>
  <c r="Q347"/>
  <c r="Q348" s="1"/>
  <c r="P347"/>
  <c r="O347"/>
  <c r="O348" s="1"/>
  <c r="N347"/>
  <c r="N349" s="1"/>
  <c r="N351" s="1"/>
  <c r="M347"/>
  <c r="M348" s="1"/>
  <c r="L347"/>
  <c r="K347"/>
  <c r="K349" s="1"/>
  <c r="K351" s="1"/>
  <c r="J347"/>
  <c r="J349" s="1"/>
  <c r="J351" s="1"/>
  <c r="I347"/>
  <c r="I348" s="1"/>
  <c r="H347"/>
  <c r="G347"/>
  <c r="G348" s="1"/>
  <c r="F347"/>
  <c r="F349" s="1"/>
  <c r="F351" s="1"/>
  <c r="E347"/>
  <c r="R343"/>
  <c r="N343"/>
  <c r="J343"/>
  <c r="F343"/>
  <c r="T342"/>
  <c r="T343" s="1"/>
  <c r="S342"/>
  <c r="S343" s="1"/>
  <c r="R342"/>
  <c r="Q342"/>
  <c r="Q343" s="1"/>
  <c r="P342"/>
  <c r="P343" s="1"/>
  <c r="O342"/>
  <c r="O343" s="1"/>
  <c r="N342"/>
  <c r="M342"/>
  <c r="M343" s="1"/>
  <c r="L342"/>
  <c r="L343" s="1"/>
  <c r="K342"/>
  <c r="K343" s="1"/>
  <c r="J342"/>
  <c r="I342"/>
  <c r="I343" s="1"/>
  <c r="H342"/>
  <c r="H343" s="1"/>
  <c r="G342"/>
  <c r="G343" s="1"/>
  <c r="F342"/>
  <c r="E342"/>
  <c r="R333"/>
  <c r="N333"/>
  <c r="J333"/>
  <c r="F333"/>
  <c r="T332"/>
  <c r="T333" s="1"/>
  <c r="S332"/>
  <c r="S333" s="1"/>
  <c r="R332"/>
  <c r="Q332"/>
  <c r="Q333" s="1"/>
  <c r="P332"/>
  <c r="P333" s="1"/>
  <c r="O332"/>
  <c r="O333" s="1"/>
  <c r="N332"/>
  <c r="M332"/>
  <c r="M333" s="1"/>
  <c r="L332"/>
  <c r="L333" s="1"/>
  <c r="K332"/>
  <c r="K333" s="1"/>
  <c r="J332"/>
  <c r="I332"/>
  <c r="I333" s="1"/>
  <c r="H332"/>
  <c r="H333" s="1"/>
  <c r="G332"/>
  <c r="G333" s="1"/>
  <c r="F332"/>
  <c r="E332"/>
  <c r="S313"/>
  <c r="Q313"/>
  <c r="O313"/>
  <c r="M313"/>
  <c r="K313"/>
  <c r="I313"/>
  <c r="G313"/>
  <c r="T312"/>
  <c r="T313" s="1"/>
  <c r="S312"/>
  <c r="S314" s="1"/>
  <c r="S316" s="1"/>
  <c r="R312"/>
  <c r="R314" s="1"/>
  <c r="R316" s="1"/>
  <c r="Q312"/>
  <c r="Q314" s="1"/>
  <c r="Q316" s="1"/>
  <c r="P312"/>
  <c r="P313" s="1"/>
  <c r="O312"/>
  <c r="O314" s="1"/>
  <c r="O316" s="1"/>
  <c r="N312"/>
  <c r="N314" s="1"/>
  <c r="N316" s="1"/>
  <c r="M312"/>
  <c r="M314" s="1"/>
  <c r="M316" s="1"/>
  <c r="L312"/>
  <c r="L313" s="1"/>
  <c r="K312"/>
  <c r="K314" s="1"/>
  <c r="K316" s="1"/>
  <c r="J312"/>
  <c r="J314" s="1"/>
  <c r="J316" s="1"/>
  <c r="I312"/>
  <c r="I314" s="1"/>
  <c r="I316" s="1"/>
  <c r="H312"/>
  <c r="H313" s="1"/>
  <c r="G312"/>
  <c r="G314" s="1"/>
  <c r="G316" s="1"/>
  <c r="F312"/>
  <c r="F314" s="1"/>
  <c r="F316" s="1"/>
  <c r="E312"/>
  <c r="S308"/>
  <c r="Q308"/>
  <c r="O308"/>
  <c r="M308"/>
  <c r="K308"/>
  <c r="I308"/>
  <c r="G308"/>
  <c r="T307"/>
  <c r="T308" s="1"/>
  <c r="S307"/>
  <c r="R307"/>
  <c r="R308" s="1"/>
  <c r="Q307"/>
  <c r="P307"/>
  <c r="P308" s="1"/>
  <c r="O307"/>
  <c r="N307"/>
  <c r="N308" s="1"/>
  <c r="M307"/>
  <c r="L307"/>
  <c r="L308" s="1"/>
  <c r="K307"/>
  <c r="J307"/>
  <c r="J308" s="1"/>
  <c r="I307"/>
  <c r="H307"/>
  <c r="H308" s="1"/>
  <c r="G307"/>
  <c r="F307"/>
  <c r="F308" s="1"/>
  <c r="E307"/>
  <c r="R298"/>
  <c r="N298"/>
  <c r="J298"/>
  <c r="F298"/>
  <c r="T297"/>
  <c r="T298" s="1"/>
  <c r="S297"/>
  <c r="S298" s="1"/>
  <c r="R297"/>
  <c r="Q297"/>
  <c r="Q298" s="1"/>
  <c r="P297"/>
  <c r="P298" s="1"/>
  <c r="O297"/>
  <c r="O298" s="1"/>
  <c r="N297"/>
  <c r="M297"/>
  <c r="M298" s="1"/>
  <c r="L297"/>
  <c r="L298" s="1"/>
  <c r="K297"/>
  <c r="K298" s="1"/>
  <c r="J297"/>
  <c r="I297"/>
  <c r="I298" s="1"/>
  <c r="H297"/>
  <c r="H298" s="1"/>
  <c r="G297"/>
  <c r="G298" s="1"/>
  <c r="F297"/>
  <c r="E297"/>
  <c r="T166"/>
  <c r="S166"/>
  <c r="S167" s="1"/>
  <c r="R166"/>
  <c r="Q166"/>
  <c r="P166"/>
  <c r="O166"/>
  <c r="O167" s="1"/>
  <c r="N166"/>
  <c r="M166"/>
  <c r="L166"/>
  <c r="K166"/>
  <c r="K167" s="1"/>
  <c r="J166"/>
  <c r="I166"/>
  <c r="H166"/>
  <c r="G166"/>
  <c r="G167" s="1"/>
  <c r="F166"/>
  <c r="E166"/>
  <c r="T161"/>
  <c r="T162" s="1"/>
  <c r="S161"/>
  <c r="S162" s="1"/>
  <c r="R161"/>
  <c r="R162" s="1"/>
  <c r="Q161"/>
  <c r="Q162" s="1"/>
  <c r="P161"/>
  <c r="P162" s="1"/>
  <c r="O161"/>
  <c r="O162" s="1"/>
  <c r="N161"/>
  <c r="N162" s="1"/>
  <c r="M161"/>
  <c r="M162" s="1"/>
  <c r="L161"/>
  <c r="L162" s="1"/>
  <c r="K161"/>
  <c r="K162" s="1"/>
  <c r="J161"/>
  <c r="J162" s="1"/>
  <c r="I161"/>
  <c r="I162" s="1"/>
  <c r="H161"/>
  <c r="H162" s="1"/>
  <c r="G161"/>
  <c r="G162" s="1"/>
  <c r="F161"/>
  <c r="F162" s="1"/>
  <c r="E161"/>
  <c r="T99"/>
  <c r="S99"/>
  <c r="R99"/>
  <c r="R100" s="1"/>
  <c r="Q99"/>
  <c r="Q100" s="1"/>
  <c r="P99"/>
  <c r="O99"/>
  <c r="N99"/>
  <c r="N100" s="1"/>
  <c r="M99"/>
  <c r="L99"/>
  <c r="K99"/>
  <c r="J99"/>
  <c r="J100" s="1"/>
  <c r="I99"/>
  <c r="I100" s="1"/>
  <c r="H99"/>
  <c r="G99"/>
  <c r="F99"/>
  <c r="F100" s="1"/>
  <c r="E99"/>
  <c r="T94"/>
  <c r="T95" s="1"/>
  <c r="S94"/>
  <c r="S95" s="1"/>
  <c r="R94"/>
  <c r="R95" s="1"/>
  <c r="Q94"/>
  <c r="Q95" s="1"/>
  <c r="P94"/>
  <c r="P95" s="1"/>
  <c r="O94"/>
  <c r="O95" s="1"/>
  <c r="N94"/>
  <c r="N95" s="1"/>
  <c r="M94"/>
  <c r="M95" s="1"/>
  <c r="L94"/>
  <c r="L95" s="1"/>
  <c r="K94"/>
  <c r="K95" s="1"/>
  <c r="J94"/>
  <c r="J95" s="1"/>
  <c r="I94"/>
  <c r="I95" s="1"/>
  <c r="H94"/>
  <c r="H95" s="1"/>
  <c r="G94"/>
  <c r="G95" s="1"/>
  <c r="F94"/>
  <c r="F95" s="1"/>
  <c r="E94"/>
  <c r="T84"/>
  <c r="T85" s="1"/>
  <c r="S84"/>
  <c r="S85" s="1"/>
  <c r="R84"/>
  <c r="R85" s="1"/>
  <c r="Q84"/>
  <c r="Q85" s="1"/>
  <c r="P84"/>
  <c r="P85" s="1"/>
  <c r="O84"/>
  <c r="O85" s="1"/>
  <c r="N84"/>
  <c r="N85" s="1"/>
  <c r="M84"/>
  <c r="M85" s="1"/>
  <c r="L84"/>
  <c r="L85" s="1"/>
  <c r="K84"/>
  <c r="K85" s="1"/>
  <c r="J84"/>
  <c r="J85" s="1"/>
  <c r="I84"/>
  <c r="I85" s="1"/>
  <c r="H84"/>
  <c r="H85" s="1"/>
  <c r="G84"/>
  <c r="G85" s="1"/>
  <c r="F84"/>
  <c r="F85" s="1"/>
  <c r="E84"/>
  <c r="S349" i="7"/>
  <c r="P349"/>
  <c r="O349"/>
  <c r="L349"/>
  <c r="K349"/>
  <c r="H349"/>
  <c r="G349"/>
  <c r="R349"/>
  <c r="Q349"/>
  <c r="M349"/>
  <c r="J349"/>
  <c r="I349"/>
  <c r="E349"/>
  <c r="S172"/>
  <c r="S173" s="1"/>
  <c r="R172"/>
  <c r="R173" s="1"/>
  <c r="Q172"/>
  <c r="Q173" s="1"/>
  <c r="P172"/>
  <c r="P173" s="1"/>
  <c r="O172"/>
  <c r="O173" s="1"/>
  <c r="N172"/>
  <c r="N173" s="1"/>
  <c r="M172"/>
  <c r="M173" s="1"/>
  <c r="L172"/>
  <c r="L173" s="1"/>
  <c r="K172"/>
  <c r="K173" s="1"/>
  <c r="J172"/>
  <c r="J173" s="1"/>
  <c r="I172"/>
  <c r="I173" s="1"/>
  <c r="H172"/>
  <c r="H173" s="1"/>
  <c r="G172"/>
  <c r="G173" s="1"/>
  <c r="F172"/>
  <c r="F173" s="1"/>
  <c r="E172"/>
  <c r="E173" s="1"/>
  <c r="D172"/>
  <c r="S167"/>
  <c r="S168" s="1"/>
  <c r="R167"/>
  <c r="R168" s="1"/>
  <c r="Q167"/>
  <c r="Q168" s="1"/>
  <c r="P167"/>
  <c r="P168" s="1"/>
  <c r="O167"/>
  <c r="O168" s="1"/>
  <c r="N167"/>
  <c r="N168" s="1"/>
  <c r="M167"/>
  <c r="M168" s="1"/>
  <c r="L167"/>
  <c r="L168" s="1"/>
  <c r="K167"/>
  <c r="K168" s="1"/>
  <c r="J167"/>
  <c r="J168" s="1"/>
  <c r="I167"/>
  <c r="I168" s="1"/>
  <c r="H167"/>
  <c r="H168" s="1"/>
  <c r="G167"/>
  <c r="G168" s="1"/>
  <c r="F167"/>
  <c r="F168" s="1"/>
  <c r="E167"/>
  <c r="E168" s="1"/>
  <c r="D167"/>
  <c r="S157"/>
  <c r="S158" s="1"/>
  <c r="R157"/>
  <c r="R158" s="1"/>
  <c r="Q157"/>
  <c r="Q158" s="1"/>
  <c r="P157"/>
  <c r="P158" s="1"/>
  <c r="O157"/>
  <c r="O158" s="1"/>
  <c r="N157"/>
  <c r="N158" s="1"/>
  <c r="M157"/>
  <c r="M158" s="1"/>
  <c r="L157"/>
  <c r="L158" s="1"/>
  <c r="K157"/>
  <c r="K158" s="1"/>
  <c r="J157"/>
  <c r="J158" s="1"/>
  <c r="I157"/>
  <c r="I158" s="1"/>
  <c r="H157"/>
  <c r="H158" s="1"/>
  <c r="G157"/>
  <c r="G158" s="1"/>
  <c r="F157"/>
  <c r="F158" s="1"/>
  <c r="E157"/>
  <c r="E158" s="1"/>
  <c r="D157"/>
  <c r="S134"/>
  <c r="S135" s="1"/>
  <c r="R134"/>
  <c r="R135" s="1"/>
  <c r="Q134"/>
  <c r="P134"/>
  <c r="P135" s="1"/>
  <c r="O134"/>
  <c r="O135" s="1"/>
  <c r="N134"/>
  <c r="N135" s="1"/>
  <c r="M134"/>
  <c r="L134"/>
  <c r="L135" s="1"/>
  <c r="K134"/>
  <c r="K135" s="1"/>
  <c r="J134"/>
  <c r="I134"/>
  <c r="H134"/>
  <c r="H135" s="1"/>
  <c r="G134"/>
  <c r="G135" s="1"/>
  <c r="F134"/>
  <c r="F135" s="1"/>
  <c r="E134"/>
  <c r="D134"/>
  <c r="S129"/>
  <c r="S130" s="1"/>
  <c r="R129"/>
  <c r="R130" s="1"/>
  <c r="Q129"/>
  <c r="Q130" s="1"/>
  <c r="P129"/>
  <c r="O129"/>
  <c r="O130" s="1"/>
  <c r="N129"/>
  <c r="N130" s="1"/>
  <c r="M129"/>
  <c r="M130" s="1"/>
  <c r="L129"/>
  <c r="K129"/>
  <c r="K130" s="1"/>
  <c r="J129"/>
  <c r="J130" s="1"/>
  <c r="I129"/>
  <c r="I130" s="1"/>
  <c r="H129"/>
  <c r="G129"/>
  <c r="G130" s="1"/>
  <c r="F129"/>
  <c r="F130" s="1"/>
  <c r="E129"/>
  <c r="E130" s="1"/>
  <c r="D129"/>
  <c r="S119"/>
  <c r="S136" s="1"/>
  <c r="S138" s="1"/>
  <c r="R119"/>
  <c r="R120" s="1"/>
  <c r="Q119"/>
  <c r="Q120" s="1"/>
  <c r="P119"/>
  <c r="P120" s="1"/>
  <c r="O119"/>
  <c r="O136" s="1"/>
  <c r="O138" s="1"/>
  <c r="N119"/>
  <c r="N120" s="1"/>
  <c r="M119"/>
  <c r="M120" s="1"/>
  <c r="L119"/>
  <c r="L120" s="1"/>
  <c r="K119"/>
  <c r="K136" s="1"/>
  <c r="K138" s="1"/>
  <c r="J119"/>
  <c r="J120" s="1"/>
  <c r="I119"/>
  <c r="I120" s="1"/>
  <c r="H119"/>
  <c r="H120" s="1"/>
  <c r="G119"/>
  <c r="G136" s="1"/>
  <c r="G138" s="1"/>
  <c r="F119"/>
  <c r="F120" s="1"/>
  <c r="E119"/>
  <c r="E120" s="1"/>
  <c r="D119"/>
  <c r="S100"/>
  <c r="S101" s="1"/>
  <c r="R100"/>
  <c r="Q100"/>
  <c r="P100"/>
  <c r="O100"/>
  <c r="O101" s="1"/>
  <c r="N100"/>
  <c r="M100"/>
  <c r="M101" s="1"/>
  <c r="L100"/>
  <c r="K100"/>
  <c r="K101" s="1"/>
  <c r="J100"/>
  <c r="I100"/>
  <c r="H100"/>
  <c r="G100"/>
  <c r="G101" s="1"/>
  <c r="F100"/>
  <c r="E100"/>
  <c r="E101" s="1"/>
  <c r="D100"/>
  <c r="S95"/>
  <c r="S96" s="1"/>
  <c r="R95"/>
  <c r="R96" s="1"/>
  <c r="Q95"/>
  <c r="Q96" s="1"/>
  <c r="P95"/>
  <c r="P96" s="1"/>
  <c r="O95"/>
  <c r="O96" s="1"/>
  <c r="N95"/>
  <c r="N96" s="1"/>
  <c r="M95"/>
  <c r="M96" s="1"/>
  <c r="L95"/>
  <c r="L96" s="1"/>
  <c r="K95"/>
  <c r="K96" s="1"/>
  <c r="J95"/>
  <c r="J96" s="1"/>
  <c r="I95"/>
  <c r="I96" s="1"/>
  <c r="H95"/>
  <c r="H96" s="1"/>
  <c r="G95"/>
  <c r="G96" s="1"/>
  <c r="F95"/>
  <c r="F96" s="1"/>
  <c r="E95"/>
  <c r="E96" s="1"/>
  <c r="D95"/>
  <c r="S85"/>
  <c r="R85"/>
  <c r="Q85"/>
  <c r="P85"/>
  <c r="O85"/>
  <c r="N85"/>
  <c r="M85"/>
  <c r="L85"/>
  <c r="K85"/>
  <c r="J85"/>
  <c r="I85"/>
  <c r="H85"/>
  <c r="G85"/>
  <c r="F85"/>
  <c r="E85"/>
  <c r="E86" s="1"/>
  <c r="D85"/>
  <c r="K348" i="8" l="1"/>
  <c r="S348"/>
  <c r="F348"/>
  <c r="J348"/>
  <c r="N348"/>
  <c r="R348"/>
  <c r="G349"/>
  <c r="G351" s="1"/>
  <c r="O349"/>
  <c r="O351" s="1"/>
  <c r="H314"/>
  <c r="H316" s="1"/>
  <c r="L314"/>
  <c r="L316" s="1"/>
  <c r="P314"/>
  <c r="P316" s="1"/>
  <c r="T314"/>
  <c r="T316" s="1"/>
  <c r="T358"/>
  <c r="T360" s="1"/>
  <c r="F313"/>
  <c r="J313"/>
  <c r="N313"/>
  <c r="R313"/>
  <c r="H358"/>
  <c r="H360" s="1"/>
  <c r="J358"/>
  <c r="J360" s="1"/>
  <c r="N358"/>
  <c r="N360" s="1"/>
  <c r="R358"/>
  <c r="R360" s="1"/>
  <c r="P358"/>
  <c r="P360" s="1"/>
  <c r="L358"/>
  <c r="L360" s="1"/>
  <c r="H168"/>
  <c r="H170" s="1"/>
  <c r="L168"/>
  <c r="L170" s="1"/>
  <c r="P168"/>
  <c r="P170" s="1"/>
  <c r="T168"/>
  <c r="T170" s="1"/>
  <c r="H135"/>
  <c r="H137" s="1"/>
  <c r="L135"/>
  <c r="L137" s="1"/>
  <c r="P135"/>
  <c r="P137" s="1"/>
  <c r="T135"/>
  <c r="T137" s="1"/>
  <c r="F168"/>
  <c r="F170" s="1"/>
  <c r="J168"/>
  <c r="J170" s="1"/>
  <c r="N168"/>
  <c r="N170" s="1"/>
  <c r="R168"/>
  <c r="R170" s="1"/>
  <c r="F135"/>
  <c r="F137" s="1"/>
  <c r="J135"/>
  <c r="J137" s="1"/>
  <c r="N135"/>
  <c r="N137" s="1"/>
  <c r="R135"/>
  <c r="R137" s="1"/>
  <c r="I168"/>
  <c r="I170" s="1"/>
  <c r="M168"/>
  <c r="M170" s="1"/>
  <c r="Q168"/>
  <c r="Q170" s="1"/>
  <c r="I135"/>
  <c r="I137" s="1"/>
  <c r="M135"/>
  <c r="M137" s="1"/>
  <c r="Q135"/>
  <c r="Q137" s="1"/>
  <c r="G135"/>
  <c r="G137" s="1"/>
  <c r="K135"/>
  <c r="K137" s="1"/>
  <c r="O135"/>
  <c r="O137" s="1"/>
  <c r="S135"/>
  <c r="S137" s="1"/>
  <c r="F167"/>
  <c r="J167"/>
  <c r="N167"/>
  <c r="R167"/>
  <c r="G168"/>
  <c r="G170" s="1"/>
  <c r="K168"/>
  <c r="K170" s="1"/>
  <c r="O168"/>
  <c r="O170" s="1"/>
  <c r="S168"/>
  <c r="S170" s="1"/>
  <c r="I167"/>
  <c r="M167"/>
  <c r="Q167"/>
  <c r="H167"/>
  <c r="L167"/>
  <c r="P167"/>
  <c r="T167"/>
  <c r="F101"/>
  <c r="F103" s="1"/>
  <c r="F174"/>
  <c r="F176" s="1"/>
  <c r="N174"/>
  <c r="N176" s="1"/>
  <c r="R174"/>
  <c r="R176" s="1"/>
  <c r="J174"/>
  <c r="J176" s="1"/>
  <c r="L174"/>
  <c r="L176" s="1"/>
  <c r="M101"/>
  <c r="M103" s="1"/>
  <c r="N177"/>
  <c r="N179" s="1"/>
  <c r="F177"/>
  <c r="F179" s="1"/>
  <c r="I174"/>
  <c r="I176" s="1"/>
  <c r="M174"/>
  <c r="M176" s="1"/>
  <c r="Q174"/>
  <c r="Q176" s="1"/>
  <c r="I177"/>
  <c r="I179" s="1"/>
  <c r="M177"/>
  <c r="M179" s="1"/>
  <c r="Q177"/>
  <c r="Q179" s="1"/>
  <c r="T174"/>
  <c r="T176" s="1"/>
  <c r="F352"/>
  <c r="F354" s="1"/>
  <c r="J352"/>
  <c r="J354" s="1"/>
  <c r="N352"/>
  <c r="N354" s="1"/>
  <c r="R352"/>
  <c r="R354" s="1"/>
  <c r="F358"/>
  <c r="F360" s="1"/>
  <c r="I101"/>
  <c r="I103" s="1"/>
  <c r="Q101"/>
  <c r="Q103" s="1"/>
  <c r="M100"/>
  <c r="L101"/>
  <c r="L103" s="1"/>
  <c r="L100"/>
  <c r="T101"/>
  <c r="T103" s="1"/>
  <c r="T100"/>
  <c r="I352"/>
  <c r="M352"/>
  <c r="Q352"/>
  <c r="G101"/>
  <c r="G103" s="1"/>
  <c r="K101"/>
  <c r="K103" s="1"/>
  <c r="O101"/>
  <c r="O103" s="1"/>
  <c r="S101"/>
  <c r="S103" s="1"/>
  <c r="R101"/>
  <c r="R103" s="1"/>
  <c r="P174"/>
  <c r="P176" s="1"/>
  <c r="R177"/>
  <c r="R179" s="1"/>
  <c r="L177"/>
  <c r="L179" s="1"/>
  <c r="I358"/>
  <c r="I360" s="1"/>
  <c r="M358"/>
  <c r="M360" s="1"/>
  <c r="Q358"/>
  <c r="Q360" s="1"/>
  <c r="N101"/>
  <c r="N103" s="1"/>
  <c r="H101"/>
  <c r="H103" s="1"/>
  <c r="H100"/>
  <c r="P101"/>
  <c r="P103" s="1"/>
  <c r="P100"/>
  <c r="H177"/>
  <c r="H179" s="1"/>
  <c r="P177"/>
  <c r="P179" s="1"/>
  <c r="T177"/>
  <c r="T179" s="1"/>
  <c r="G174"/>
  <c r="G176" s="1"/>
  <c r="K174"/>
  <c r="K176" s="1"/>
  <c r="O174"/>
  <c r="O176" s="1"/>
  <c r="S174"/>
  <c r="S176" s="1"/>
  <c r="G358"/>
  <c r="G360" s="1"/>
  <c r="K358"/>
  <c r="K360" s="1"/>
  <c r="O358"/>
  <c r="O360" s="1"/>
  <c r="S358"/>
  <c r="S360" s="1"/>
  <c r="G177"/>
  <c r="G179" s="1"/>
  <c r="K177"/>
  <c r="K179" s="1"/>
  <c r="O177"/>
  <c r="O179" s="1"/>
  <c r="S177"/>
  <c r="S179" s="1"/>
  <c r="J101"/>
  <c r="J103" s="1"/>
  <c r="H174"/>
  <c r="H176" s="1"/>
  <c r="J177"/>
  <c r="J179" s="1"/>
  <c r="H352"/>
  <c r="L352"/>
  <c r="P352"/>
  <c r="T352"/>
  <c r="G100"/>
  <c r="K100"/>
  <c r="O100"/>
  <c r="S100"/>
  <c r="G352"/>
  <c r="K352"/>
  <c r="O352"/>
  <c r="S352"/>
  <c r="F349" i="7"/>
  <c r="N349"/>
  <c r="R102"/>
  <c r="R104" s="1"/>
  <c r="F102"/>
  <c r="F104" s="1"/>
  <c r="J102"/>
  <c r="J104" s="1"/>
  <c r="N102"/>
  <c r="N104" s="1"/>
  <c r="F314"/>
  <c r="F316" s="1"/>
  <c r="J314"/>
  <c r="J316" s="1"/>
  <c r="N314"/>
  <c r="N316" s="1"/>
  <c r="R314"/>
  <c r="R316" s="1"/>
  <c r="R101"/>
  <c r="N101"/>
  <c r="J136"/>
  <c r="J138" s="1"/>
  <c r="I102"/>
  <c r="I104" s="1"/>
  <c r="Q102"/>
  <c r="Q104" s="1"/>
  <c r="J101"/>
  <c r="G102"/>
  <c r="G104" s="1"/>
  <c r="O102"/>
  <c r="O104" s="1"/>
  <c r="E136"/>
  <c r="E138" s="1"/>
  <c r="I136"/>
  <c r="I138" s="1"/>
  <c r="M136"/>
  <c r="M138" s="1"/>
  <c r="Q136"/>
  <c r="Q138" s="1"/>
  <c r="G314"/>
  <c r="G316" s="1"/>
  <c r="K314"/>
  <c r="K316" s="1"/>
  <c r="O314"/>
  <c r="O316" s="1"/>
  <c r="S314"/>
  <c r="S316" s="1"/>
  <c r="H102"/>
  <c r="H104" s="1"/>
  <c r="L102"/>
  <c r="L104" s="1"/>
  <c r="P102"/>
  <c r="P104" s="1"/>
  <c r="F101"/>
  <c r="H136"/>
  <c r="H138" s="1"/>
  <c r="L136"/>
  <c r="L138" s="1"/>
  <c r="P136"/>
  <c r="P138" s="1"/>
  <c r="K102"/>
  <c r="K104" s="1"/>
  <c r="S102"/>
  <c r="S104" s="1"/>
  <c r="H314"/>
  <c r="H316" s="1"/>
  <c r="L314"/>
  <c r="L316" s="1"/>
  <c r="P314"/>
  <c r="P316" s="1"/>
  <c r="I101"/>
  <c r="Q101"/>
  <c r="J135"/>
  <c r="H101"/>
  <c r="L101"/>
  <c r="P101"/>
  <c r="E102"/>
  <c r="E104" s="1"/>
  <c r="M102"/>
  <c r="M104" s="1"/>
  <c r="G120"/>
  <c r="K120"/>
  <c r="O120"/>
  <c r="S120"/>
  <c r="H130"/>
  <c r="L130"/>
  <c r="P130"/>
  <c r="E135"/>
  <c r="I135"/>
  <c r="M135"/>
  <c r="Q135"/>
  <c r="F136"/>
  <c r="F138" s="1"/>
  <c r="N136"/>
  <c r="N138" s="1"/>
  <c r="R136"/>
  <c r="R138" s="1"/>
  <c r="E314"/>
  <c r="E316" s="1"/>
  <c r="I314"/>
  <c r="I316" s="1"/>
  <c r="M314"/>
  <c r="M316" s="1"/>
  <c r="Q314"/>
  <c r="Q316" s="1"/>
  <c r="G354" i="8" l="1"/>
  <c r="P354"/>
  <c r="Q354"/>
  <c r="I354"/>
  <c r="O354"/>
  <c r="H354"/>
  <c r="S354"/>
  <c r="L354"/>
  <c r="K354"/>
  <c r="T354"/>
  <c r="M354"/>
  <c r="T20" i="1"/>
  <c r="B2" i="2"/>
  <c r="B321"/>
  <c r="B320"/>
  <c r="B278"/>
  <c r="B277"/>
  <c r="B250"/>
  <c r="B208"/>
  <c r="B186"/>
  <c r="B133"/>
  <c r="B105"/>
  <c r="B73"/>
  <c r="B29"/>
  <c r="B4"/>
  <c r="B310" i="4"/>
  <c r="B309"/>
  <c r="K309"/>
  <c r="B264"/>
  <c r="B263"/>
  <c r="K263"/>
  <c r="K309" i="2"/>
  <c r="B209"/>
  <c r="B206" i="4"/>
  <c r="B134" i="2"/>
  <c r="B131" i="4"/>
  <c r="K130"/>
  <c r="B76"/>
  <c r="K29"/>
  <c r="H8"/>
  <c r="H9"/>
  <c r="H10"/>
  <c r="H11"/>
  <c r="H12"/>
  <c r="H13"/>
  <c r="K331"/>
  <c r="K328"/>
  <c r="K327"/>
  <c r="K321"/>
  <c r="K320"/>
  <c r="H320"/>
  <c r="K319"/>
  <c r="H319"/>
  <c r="K318"/>
  <c r="H318"/>
  <c r="K317"/>
  <c r="H317"/>
  <c r="K316"/>
  <c r="H316"/>
  <c r="K313"/>
  <c r="K307"/>
  <c r="K304"/>
  <c r="K303"/>
  <c r="K302"/>
  <c r="K301"/>
  <c r="K298"/>
  <c r="K295"/>
  <c r="K294"/>
  <c r="K293"/>
  <c r="K287"/>
  <c r="K286"/>
  <c r="K285"/>
  <c r="K284"/>
  <c r="K283"/>
  <c r="K282"/>
  <c r="K281"/>
  <c r="K280"/>
  <c r="K279"/>
  <c r="K278"/>
  <c r="K276"/>
  <c r="K275"/>
  <c r="K272"/>
  <c r="K271"/>
  <c r="K270"/>
  <c r="K269"/>
  <c r="K268"/>
  <c r="K260"/>
  <c r="K256"/>
  <c r="K255"/>
  <c r="F251"/>
  <c r="H251" s="1"/>
  <c r="F250"/>
  <c r="K250" s="1"/>
  <c r="F249"/>
  <c r="H249" s="1"/>
  <c r="F248"/>
  <c r="K248" s="1"/>
  <c r="F247"/>
  <c r="H247" s="1"/>
  <c r="F246"/>
  <c r="K246" s="1"/>
  <c r="F245"/>
  <c r="H245" s="1"/>
  <c r="F244"/>
  <c r="K244" s="1"/>
  <c r="F243"/>
  <c r="H243" s="1"/>
  <c r="K239"/>
  <c r="G239"/>
  <c r="K238"/>
  <c r="B237"/>
  <c r="K233"/>
  <c r="K230"/>
  <c r="K229"/>
  <c r="K225"/>
  <c r="K224"/>
  <c r="K223"/>
  <c r="K222"/>
  <c r="K221"/>
  <c r="K217"/>
  <c r="K216"/>
  <c r="K215"/>
  <c r="K214"/>
  <c r="K213"/>
  <c r="K210"/>
  <c r="K209"/>
  <c r="K208"/>
  <c r="K207"/>
  <c r="K204"/>
  <c r="A207"/>
  <c r="K202"/>
  <c r="K199"/>
  <c r="K198"/>
  <c r="K197"/>
  <c r="K196"/>
  <c r="F192"/>
  <c r="H192" s="1"/>
  <c r="F191"/>
  <c r="K191" s="1"/>
  <c r="F190"/>
  <c r="H190" s="1"/>
  <c r="F189"/>
  <c r="K189" s="1"/>
  <c r="F188"/>
  <c r="H188" s="1"/>
  <c r="K185"/>
  <c r="B184"/>
  <c r="K183"/>
  <c r="K180"/>
  <c r="K178"/>
  <c r="H175"/>
  <c r="F175"/>
  <c r="K175" s="1"/>
  <c r="H174"/>
  <c r="F174"/>
  <c r="K174" s="1"/>
  <c r="H173"/>
  <c r="F173"/>
  <c r="K173" s="1"/>
  <c r="H172"/>
  <c r="F172"/>
  <c r="K172" s="1"/>
  <c r="K171" s="1"/>
  <c r="F168"/>
  <c r="K168" s="1"/>
  <c r="F167"/>
  <c r="H167" s="1"/>
  <c r="F166"/>
  <c r="K166" s="1"/>
  <c r="F165"/>
  <c r="H165" s="1"/>
  <c r="F164"/>
  <c r="K164" s="1"/>
  <c r="F163"/>
  <c r="H163" s="1"/>
  <c r="F162"/>
  <c r="K162" s="1"/>
  <c r="H161"/>
  <c r="F161"/>
  <c r="K161" s="1"/>
  <c r="H160"/>
  <c r="F160"/>
  <c r="K160" s="1"/>
  <c r="K157"/>
  <c r="K152"/>
  <c r="K151"/>
  <c r="K148"/>
  <c r="K146"/>
  <c r="K143"/>
  <c r="K142"/>
  <c r="H142"/>
  <c r="K141"/>
  <c r="H141"/>
  <c r="K140"/>
  <c r="H140"/>
  <c r="K139"/>
  <c r="H139"/>
  <c r="K138"/>
  <c r="H138"/>
  <c r="K133"/>
  <c r="K127"/>
  <c r="K124"/>
  <c r="K123"/>
  <c r="K122"/>
  <c r="K118"/>
  <c r="K117"/>
  <c r="K116"/>
  <c r="K112"/>
  <c r="K111"/>
  <c r="K110"/>
  <c r="K109"/>
  <c r="K108"/>
  <c r="K107"/>
  <c r="K106"/>
  <c r="K105"/>
  <c r="B103"/>
  <c r="K101"/>
  <c r="K99"/>
  <c r="K96"/>
  <c r="K95"/>
  <c r="K91"/>
  <c r="K90"/>
  <c r="K89"/>
  <c r="K88"/>
  <c r="K87"/>
  <c r="K86"/>
  <c r="K85"/>
  <c r="K84"/>
  <c r="K83"/>
  <c r="K82"/>
  <c r="K81"/>
  <c r="K77"/>
  <c r="K76" s="1"/>
  <c r="K74"/>
  <c r="K71"/>
  <c r="K68"/>
  <c r="K67"/>
  <c r="K66"/>
  <c r="K65"/>
  <c r="K61"/>
  <c r="K60"/>
  <c r="K59"/>
  <c r="K54"/>
  <c r="K53"/>
  <c r="K52"/>
  <c r="K51"/>
  <c r="K50"/>
  <c r="K49"/>
  <c r="K48"/>
  <c r="K47"/>
  <c r="K41"/>
  <c r="K39"/>
  <c r="K38"/>
  <c r="K36"/>
  <c r="K35"/>
  <c r="B30"/>
  <c r="K26"/>
  <c r="K23"/>
  <c r="H23"/>
  <c r="K22"/>
  <c r="H22"/>
  <c r="K21"/>
  <c r="H21"/>
  <c r="K20"/>
  <c r="H20"/>
  <c r="K17"/>
  <c r="K13"/>
  <c r="K12"/>
  <c r="K11"/>
  <c r="K10"/>
  <c r="K9"/>
  <c r="K8"/>
  <c r="B5"/>
  <c r="K4"/>
  <c r="K3"/>
  <c r="I1"/>
  <c r="G1"/>
  <c r="L28" i="1"/>
  <c r="K323" i="2"/>
  <c r="K133"/>
  <c r="K114"/>
  <c r="K115"/>
  <c r="K113"/>
  <c r="K112"/>
  <c r="K111"/>
  <c r="K110"/>
  <c r="K109"/>
  <c r="K108"/>
  <c r="K5" i="4" l="1"/>
  <c r="K58"/>
  <c r="K80"/>
  <c r="K104"/>
  <c r="H250"/>
  <c r="K254"/>
  <c r="K94"/>
  <c r="K326"/>
  <c r="K137"/>
  <c r="K33"/>
  <c r="K64"/>
  <c r="K121"/>
  <c r="K150"/>
  <c r="H162"/>
  <c r="K220"/>
  <c r="K300"/>
  <c r="K315"/>
  <c r="B4"/>
  <c r="H166"/>
  <c r="H191"/>
  <c r="K195"/>
  <c r="H246"/>
  <c r="K292"/>
  <c r="K107" i="2"/>
  <c r="K115" i="4"/>
  <c r="H164"/>
  <c r="H168"/>
  <c r="H189"/>
  <c r="K206"/>
  <c r="K228"/>
  <c r="H244"/>
  <c r="H248"/>
  <c r="K267"/>
  <c r="K163"/>
  <c r="K165"/>
  <c r="K167"/>
  <c r="K188"/>
  <c r="K190"/>
  <c r="K192"/>
  <c r="K243"/>
  <c r="K245"/>
  <c r="K247"/>
  <c r="K249"/>
  <c r="K251"/>
  <c r="B75" l="1"/>
  <c r="B102"/>
  <c r="B130"/>
  <c r="B205"/>
  <c r="B29"/>
  <c r="K159"/>
  <c r="B157" s="1"/>
  <c r="K242"/>
  <c r="B236" s="1"/>
  <c r="K187"/>
  <c r="B183" s="1"/>
  <c r="B2" l="1"/>
  <c r="K345" i="2" l="1"/>
  <c r="K342"/>
  <c r="K341"/>
  <c r="K335"/>
  <c r="K334"/>
  <c r="H334"/>
  <c r="K333"/>
  <c r="H333"/>
  <c r="K332"/>
  <c r="H332"/>
  <c r="K331"/>
  <c r="H331"/>
  <c r="K330"/>
  <c r="H330"/>
  <c r="K327"/>
  <c r="K318"/>
  <c r="K315"/>
  <c r="K314"/>
  <c r="K313"/>
  <c r="K312"/>
  <c r="K306"/>
  <c r="K305"/>
  <c r="K304"/>
  <c r="K298"/>
  <c r="K297"/>
  <c r="K296"/>
  <c r="K295"/>
  <c r="K294"/>
  <c r="K293"/>
  <c r="K292"/>
  <c r="K291"/>
  <c r="K290"/>
  <c r="K289"/>
  <c r="K287"/>
  <c r="K286"/>
  <c r="K283"/>
  <c r="K282"/>
  <c r="K281"/>
  <c r="K280"/>
  <c r="K279"/>
  <c r="K276"/>
  <c r="K274"/>
  <c r="K270"/>
  <c r="K269"/>
  <c r="F265"/>
  <c r="K265" s="1"/>
  <c r="F264"/>
  <c r="K264" s="1"/>
  <c r="F263"/>
  <c r="K263" s="1"/>
  <c r="F262"/>
  <c r="K262" s="1"/>
  <c r="F261"/>
  <c r="K261" s="1"/>
  <c r="F260"/>
  <c r="K260" s="1"/>
  <c r="F259"/>
  <c r="K259" s="1"/>
  <c r="F258"/>
  <c r="K258" s="1"/>
  <c r="F257"/>
  <c r="K257" s="1"/>
  <c r="K253"/>
  <c r="G253"/>
  <c r="K252"/>
  <c r="B251"/>
  <c r="K247"/>
  <c r="K244"/>
  <c r="K243"/>
  <c r="K239"/>
  <c r="K238"/>
  <c r="K237"/>
  <c r="K236"/>
  <c r="K235"/>
  <c r="K227"/>
  <c r="K226"/>
  <c r="K225"/>
  <c r="K224"/>
  <c r="K223"/>
  <c r="K220"/>
  <c r="K219"/>
  <c r="K218"/>
  <c r="K217"/>
  <c r="K212"/>
  <c r="K211"/>
  <c r="K210"/>
  <c r="K209"/>
  <c r="K205"/>
  <c r="K202"/>
  <c r="K201"/>
  <c r="K200"/>
  <c r="K199"/>
  <c r="F195"/>
  <c r="K195" s="1"/>
  <c r="F194"/>
  <c r="K194" s="1"/>
  <c r="F193"/>
  <c r="K193" s="1"/>
  <c r="F192"/>
  <c r="K192" s="1"/>
  <c r="F191"/>
  <c r="K191" s="1"/>
  <c r="K190" s="1"/>
  <c r="K188"/>
  <c r="B187"/>
  <c r="K186"/>
  <c r="K183"/>
  <c r="K181"/>
  <c r="H178"/>
  <c r="F178"/>
  <c r="K178" s="1"/>
  <c r="H177"/>
  <c r="F177"/>
  <c r="K177" s="1"/>
  <c r="H176"/>
  <c r="F176"/>
  <c r="K176" s="1"/>
  <c r="H175"/>
  <c r="F175"/>
  <c r="K175" s="1"/>
  <c r="K174" s="1"/>
  <c r="F171"/>
  <c r="K171" s="1"/>
  <c r="F170"/>
  <c r="K170" s="1"/>
  <c r="F169"/>
  <c r="K169" s="1"/>
  <c r="F168"/>
  <c r="K168" s="1"/>
  <c r="F167"/>
  <c r="K167" s="1"/>
  <c r="F166"/>
  <c r="K166" s="1"/>
  <c r="F165"/>
  <c r="K165" s="1"/>
  <c r="H164"/>
  <c r="F164"/>
  <c r="K164" s="1"/>
  <c r="H163"/>
  <c r="F163"/>
  <c r="K163" s="1"/>
  <c r="K162" s="1"/>
  <c r="B160" s="1"/>
  <c r="K160"/>
  <c r="K155"/>
  <c r="K154"/>
  <c r="K151"/>
  <c r="K149"/>
  <c r="K146"/>
  <c r="K145"/>
  <c r="H145"/>
  <c r="K144"/>
  <c r="H144"/>
  <c r="K143"/>
  <c r="H143"/>
  <c r="K142"/>
  <c r="H142"/>
  <c r="K141"/>
  <c r="H141"/>
  <c r="K136"/>
  <c r="K130"/>
  <c r="K127"/>
  <c r="K126"/>
  <c r="K125"/>
  <c r="K121"/>
  <c r="K120"/>
  <c r="K119"/>
  <c r="B106"/>
  <c r="K104"/>
  <c r="K102"/>
  <c r="K99"/>
  <c r="K98"/>
  <c r="K94"/>
  <c r="K93"/>
  <c r="K92"/>
  <c r="K91"/>
  <c r="K90"/>
  <c r="K89"/>
  <c r="K88"/>
  <c r="K87"/>
  <c r="K86"/>
  <c r="K85"/>
  <c r="K84"/>
  <c r="K83" s="1"/>
  <c r="K80"/>
  <c r="K79" s="1"/>
  <c r="K76"/>
  <c r="K75"/>
  <c r="K74"/>
  <c r="B74"/>
  <c r="K73"/>
  <c r="K69"/>
  <c r="K66"/>
  <c r="K65"/>
  <c r="K64"/>
  <c r="K63"/>
  <c r="K59"/>
  <c r="K58"/>
  <c r="K57"/>
  <c r="K56" s="1"/>
  <c r="K52"/>
  <c r="K51"/>
  <c r="K50"/>
  <c r="K49"/>
  <c r="K48"/>
  <c r="K47"/>
  <c r="K46"/>
  <c r="K45"/>
  <c r="K39"/>
  <c r="K37"/>
  <c r="K36"/>
  <c r="K34"/>
  <c r="K33"/>
  <c r="K29"/>
  <c r="B30"/>
  <c r="K26"/>
  <c r="K23"/>
  <c r="H23"/>
  <c r="K22"/>
  <c r="H22"/>
  <c r="K21"/>
  <c r="H21"/>
  <c r="K20"/>
  <c r="H20"/>
  <c r="K17"/>
  <c r="K13"/>
  <c r="H13"/>
  <c r="K12"/>
  <c r="H12"/>
  <c r="K11"/>
  <c r="H11"/>
  <c r="K10"/>
  <c r="H10"/>
  <c r="K9"/>
  <c r="H9"/>
  <c r="K8"/>
  <c r="K5" s="1"/>
  <c r="H8"/>
  <c r="B5"/>
  <c r="K4"/>
  <c r="K3"/>
  <c r="I1"/>
  <c r="G1"/>
  <c r="L20" i="1"/>
  <c r="K20"/>
  <c r="J20"/>
  <c r="I20"/>
  <c r="H20"/>
  <c r="G20"/>
  <c r="K140" i="2" l="1"/>
  <c r="K268"/>
  <c r="K31"/>
  <c r="K62"/>
  <c r="K97"/>
  <c r="K311"/>
  <c r="K208"/>
  <c r="K124"/>
  <c r="H169"/>
  <c r="H192"/>
  <c r="H165"/>
  <c r="K216"/>
  <c r="K242"/>
  <c r="K256"/>
  <c r="K303"/>
  <c r="K118"/>
  <c r="K153"/>
  <c r="H194"/>
  <c r="K198"/>
  <c r="K234"/>
  <c r="H260"/>
  <c r="H264"/>
  <c r="K329"/>
  <c r="H167"/>
  <c r="H171"/>
  <c r="H258"/>
  <c r="H262"/>
  <c r="K278"/>
  <c r="K340"/>
  <c r="H166"/>
  <c r="H168"/>
  <c r="H170"/>
  <c r="H191"/>
  <c r="H193"/>
  <c r="H195"/>
  <c r="H257"/>
  <c r="H259"/>
  <c r="H261"/>
  <c r="H263"/>
  <c r="H265"/>
  <c r="X40" i="1" l="1"/>
  <c r="M29"/>
  <c r="N29" s="1"/>
  <c r="D28"/>
  <c r="E28"/>
  <c r="F28"/>
  <c r="G28"/>
  <c r="M28" s="1"/>
  <c r="N28" s="1"/>
  <c r="H28"/>
  <c r="I28"/>
  <c r="K28"/>
  <c r="C28"/>
  <c r="E20"/>
  <c r="F20"/>
  <c r="C20"/>
  <c r="T40" l="1"/>
  <c r="T7"/>
  <c r="T9"/>
  <c r="T10"/>
  <c r="T18"/>
  <c r="T19"/>
  <c r="T28"/>
  <c r="T35"/>
  <c r="T36"/>
  <c r="T37"/>
  <c r="T38"/>
  <c r="T39"/>
  <c r="T41"/>
  <c r="T42"/>
  <c r="T43"/>
  <c r="T44"/>
  <c r="T45"/>
  <c r="T46"/>
  <c r="T47"/>
  <c r="T48"/>
  <c r="T49"/>
  <c r="T50"/>
  <c r="T51"/>
  <c r="T52"/>
  <c r="T53"/>
  <c r="T54"/>
  <c r="T55"/>
  <c r="T56"/>
  <c r="T57"/>
  <c r="T6"/>
  <c r="M8" l="1"/>
  <c r="N8" s="1"/>
  <c r="M30"/>
  <c r="N30"/>
  <c r="M31"/>
  <c r="N31"/>
  <c r="M32"/>
  <c r="N32"/>
  <c r="M33"/>
  <c r="N33"/>
  <c r="M34"/>
  <c r="N34"/>
  <c r="M21"/>
  <c r="N21"/>
  <c r="M22"/>
  <c r="N22" s="1"/>
  <c r="M23"/>
  <c r="N23" s="1"/>
  <c r="M24"/>
  <c r="N24" s="1"/>
  <c r="M25"/>
  <c r="N25" s="1"/>
  <c r="M26"/>
  <c r="N26" s="1"/>
  <c r="M27"/>
  <c r="N27" s="1"/>
  <c r="M10"/>
  <c r="M11"/>
  <c r="M12"/>
  <c r="N12" s="1"/>
  <c r="M13"/>
  <c r="M14"/>
  <c r="N14" s="1"/>
  <c r="M15"/>
  <c r="M16"/>
  <c r="N16" s="1"/>
  <c r="M17"/>
  <c r="M18"/>
  <c r="M19"/>
  <c r="N11"/>
  <c r="N13"/>
  <c r="N15"/>
  <c r="N17"/>
  <c r="R58"/>
  <c r="M6"/>
  <c r="N6" s="1"/>
  <c r="M42"/>
  <c r="N42"/>
  <c r="M56"/>
  <c r="N56" s="1"/>
  <c r="M53"/>
  <c r="N53" s="1"/>
  <c r="M54"/>
  <c r="N54"/>
  <c r="M55"/>
  <c r="N55"/>
  <c r="M38"/>
  <c r="N38"/>
  <c r="M36"/>
  <c r="N36"/>
  <c r="M7"/>
  <c r="N7"/>
  <c r="M9"/>
  <c r="N9" s="1"/>
  <c r="N18"/>
  <c r="N19"/>
  <c r="M35"/>
  <c r="N35"/>
  <c r="M37"/>
  <c r="N37" s="1"/>
  <c r="M39"/>
  <c r="N39" s="1"/>
  <c r="X39" s="1"/>
  <c r="M40"/>
  <c r="N40"/>
  <c r="M41"/>
  <c r="N41" s="1"/>
  <c r="M43"/>
  <c r="N43" s="1"/>
  <c r="M45"/>
  <c r="N45" s="1"/>
  <c r="M44"/>
  <c r="N44" s="1"/>
  <c r="M46"/>
  <c r="N46" s="1"/>
  <c r="M47"/>
  <c r="N47" s="1"/>
  <c r="M48"/>
  <c r="N48" s="1"/>
  <c r="M49"/>
  <c r="N49" s="1"/>
  <c r="M50"/>
  <c r="N50"/>
  <c r="M51"/>
  <c r="N51"/>
  <c r="M52"/>
  <c r="N52"/>
  <c r="M57"/>
  <c r="N57"/>
  <c r="M20" l="1"/>
  <c r="N20" s="1"/>
  <c r="X20" s="1"/>
  <c r="N58" l="1"/>
  <c r="P171" i="8"/>
  <c r="P173" s="1"/>
  <c r="G171"/>
  <c r="G180" s="1"/>
  <c r="G182" s="1"/>
  <c r="Q171"/>
  <c r="Q180" s="1"/>
  <c r="Q182" s="1"/>
  <c r="T171"/>
  <c r="T173" s="1"/>
  <c r="L171"/>
  <c r="L173" s="1"/>
  <c r="H171"/>
  <c r="H173" s="1"/>
  <c r="N171"/>
  <c r="N180" s="1"/>
  <c r="N182" s="1"/>
  <c r="M171"/>
  <c r="M173" s="1"/>
  <c r="R171"/>
  <c r="R180" s="1"/>
  <c r="R182" s="1"/>
  <c r="O171"/>
  <c r="O173" s="1"/>
  <c r="K171"/>
  <c r="K180" s="1"/>
  <c r="K182" s="1"/>
  <c r="F171"/>
  <c r="F173" s="1"/>
  <c r="I171"/>
  <c r="I173" s="1"/>
  <c r="J171"/>
  <c r="J180" s="1"/>
  <c r="J182" s="1"/>
  <c r="S171"/>
  <c r="S173" s="1"/>
  <c r="F180" l="1"/>
  <c r="F182" s="1"/>
  <c r="R173"/>
  <c r="O180"/>
  <c r="O182" s="1"/>
  <c r="I180"/>
  <c r="I182" s="1"/>
  <c r="J173"/>
  <c r="S180"/>
  <c r="S182" s="1"/>
  <c r="T180"/>
  <c r="T182" s="1"/>
  <c r="M180"/>
  <c r="M182" s="1"/>
  <c r="G173"/>
  <c r="N173"/>
  <c r="P180"/>
  <c r="P182" s="1"/>
  <c r="Q173"/>
  <c r="K173"/>
  <c r="H180"/>
  <c r="H182" s="1"/>
  <c r="L180"/>
  <c r="L182" s="1"/>
  <c r="I355"/>
  <c r="I361" s="1"/>
  <c r="I363" s="1"/>
  <c r="S355"/>
  <c r="S361" s="1"/>
  <c r="S363" s="1"/>
  <c r="G355"/>
  <c r="G361" s="1"/>
  <c r="G363" s="1"/>
  <c r="J355"/>
  <c r="J357" s="1"/>
  <c r="T355"/>
  <c r="T361" s="1"/>
  <c r="T363" s="1"/>
  <c r="R355"/>
  <c r="R361" s="1"/>
  <c r="R363" s="1"/>
  <c r="L355"/>
  <c r="L357" s="1"/>
  <c r="P355"/>
  <c r="P357" s="1"/>
  <c r="O355"/>
  <c r="O361" s="1"/>
  <c r="O363" s="1"/>
  <c r="K355"/>
  <c r="K357" s="1"/>
  <c r="M355"/>
  <c r="M357" s="1"/>
  <c r="H355"/>
  <c r="H361" s="1"/>
  <c r="H363" s="1"/>
  <c r="Q355"/>
  <c r="Q357" s="1"/>
  <c r="F355"/>
  <c r="F357" s="1"/>
  <c r="N355"/>
  <c r="N357" s="1"/>
  <c r="L361" l="1"/>
  <c r="L363" s="1"/>
  <c r="F361"/>
  <c r="F363" s="1"/>
  <c r="T357"/>
  <c r="J361"/>
  <c r="J363" s="1"/>
  <c r="K361"/>
  <c r="K363" s="1"/>
  <c r="N361"/>
  <c r="N363" s="1"/>
  <c r="M361"/>
  <c r="M363" s="1"/>
  <c r="O357"/>
  <c r="I357"/>
  <c r="Q361"/>
  <c r="Q363" s="1"/>
  <c r="H357"/>
  <c r="P361"/>
  <c r="P363" s="1"/>
  <c r="S357"/>
  <c r="R357"/>
  <c r="G357"/>
  <c r="S343" i="7"/>
  <c r="S333"/>
  <c r="O333"/>
  <c r="O343"/>
  <c r="E343"/>
  <c r="E333"/>
  <c r="Q333"/>
  <c r="Q343"/>
  <c r="G343"/>
  <c r="G333"/>
  <c r="E35"/>
  <c r="H35"/>
  <c r="M35"/>
  <c r="K35"/>
  <c r="K333"/>
  <c r="K343"/>
  <c r="L35"/>
  <c r="J35"/>
  <c r="G35"/>
  <c r="R333"/>
  <c r="R343"/>
  <c r="I333"/>
  <c r="I343"/>
  <c r="N35"/>
  <c r="L333"/>
  <c r="L343"/>
  <c r="M343"/>
  <c r="M333"/>
  <c r="S35"/>
  <c r="S33"/>
  <c r="S15"/>
  <c r="P15"/>
  <c r="P33"/>
  <c r="P35"/>
  <c r="F343"/>
  <c r="F348"/>
  <c r="F350"/>
  <c r="F333"/>
  <c r="M15"/>
  <c r="M33"/>
  <c r="K15"/>
  <c r="K33"/>
  <c r="P333"/>
  <c r="P348"/>
  <c r="P350"/>
  <c r="P343"/>
  <c r="O35"/>
  <c r="R15"/>
  <c r="R33"/>
  <c r="R35"/>
  <c r="G348"/>
  <c r="G350"/>
  <c r="M348"/>
  <c r="M350"/>
  <c r="J343"/>
  <c r="J348"/>
  <c r="J350"/>
  <c r="J333"/>
  <c r="I348"/>
  <c r="I350"/>
  <c r="O15"/>
  <c r="O33"/>
  <c r="Q348"/>
  <c r="Q350"/>
  <c r="H343"/>
  <c r="H333"/>
  <c r="N333"/>
  <c r="N348"/>
  <c r="N350"/>
  <c r="N343"/>
  <c r="I35"/>
  <c r="S348"/>
  <c r="S350"/>
  <c r="I15"/>
  <c r="I33"/>
  <c r="H348"/>
  <c r="H350"/>
  <c r="E15"/>
  <c r="E33"/>
  <c r="F15"/>
  <c r="F33"/>
  <c r="F35"/>
  <c r="Q15"/>
  <c r="Q33"/>
  <c r="Q35"/>
  <c r="K348"/>
  <c r="K350"/>
  <c r="L15"/>
  <c r="L33"/>
  <c r="J15"/>
  <c r="J33"/>
  <c r="G15"/>
  <c r="G33"/>
  <c r="R348"/>
  <c r="R350"/>
  <c r="O348"/>
  <c r="O350"/>
  <c r="N15"/>
  <c r="N33"/>
  <c r="L348"/>
  <c r="L350"/>
  <c r="E348"/>
  <c r="E350"/>
  <c r="H15"/>
  <c r="H33"/>
</calcChain>
</file>

<file path=xl/sharedStrings.xml><?xml version="1.0" encoding="utf-8"?>
<sst xmlns="http://schemas.openxmlformats.org/spreadsheetml/2006/main" count="2190" uniqueCount="366">
  <si>
    <t>№</t>
  </si>
  <si>
    <t>п/п</t>
  </si>
  <si>
    <t>Наименование группы пищевой продукции (ассортимент – по СанПиН 2.3/2 4.3590-20)</t>
  </si>
  <si>
    <r>
      <t>Фактическое количество пищевой продукции (</t>
    </r>
    <r>
      <rPr>
        <b/>
        <sz val="12"/>
        <color rgb="FF000000"/>
        <rFont val="Times New Roman"/>
        <family val="1"/>
        <charset val="204"/>
      </rPr>
      <t>БРУТТО</t>
    </r>
    <r>
      <rPr>
        <sz val="12"/>
        <color rgb="FF000000"/>
        <rFont val="Times New Roman"/>
        <family val="1"/>
        <charset val="204"/>
      </rPr>
      <t xml:space="preserve">) по дням в граммах на </t>
    </r>
    <r>
      <rPr>
        <b/>
        <sz val="12"/>
        <color rgb="FF000000"/>
        <rFont val="Times New Roman"/>
        <family val="1"/>
        <charset val="204"/>
      </rPr>
      <t>одного</t>
    </r>
    <r>
      <rPr>
        <sz val="12"/>
        <color rgb="FF000000"/>
        <rFont val="Times New Roman"/>
        <family val="1"/>
        <charset val="204"/>
      </rPr>
      <t xml:space="preserve"> человека, г</t>
    </r>
  </si>
  <si>
    <t>Сметана</t>
  </si>
  <si>
    <t>Масло растительное</t>
  </si>
  <si>
    <t>Картофель</t>
  </si>
  <si>
    <t>Кондитерские изделия</t>
  </si>
  <si>
    <t>Чай</t>
  </si>
  <si>
    <t>Сухофрукты</t>
  </si>
  <si>
    <t>Фрукты  свежие</t>
  </si>
  <si>
    <t>Среднесуточный расход за 1 прием пищи</t>
  </si>
  <si>
    <t>Всего за 10 дней, г (фактический рацион)</t>
  </si>
  <si>
    <t>Макаронные изделия</t>
  </si>
  <si>
    <t>Масло сливочное</t>
  </si>
  <si>
    <t>Сыр</t>
  </si>
  <si>
    <t>Какао-порошок</t>
  </si>
  <si>
    <t>Кофейный напиток</t>
  </si>
  <si>
    <t>Хлеб пшеничный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</si>
  <si>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</si>
  <si>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</si>
  <si>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</si>
  <si>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</si>
  <si>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</si>
  <si>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</si>
  <si>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</si>
  <si>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</si>
  <si>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</si>
  <si>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</si>
  <si>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Среднесуточный расход пищевых продуктов по меню </t>
  </si>
  <si>
    <t>Приложение</t>
  </si>
  <si>
    <t>Итого за завтрак (или обед)</t>
  </si>
  <si>
    <t xml:space="preserve"> ИТОГО:</t>
  </si>
  <si>
    <t>Хлеб ржаной</t>
  </si>
  <si>
    <t>Мука пшеничная</t>
  </si>
  <si>
    <t xml:space="preserve">Рис </t>
  </si>
  <si>
    <t>Крупа гречневая</t>
  </si>
  <si>
    <t>Крупа манная</t>
  </si>
  <si>
    <t>Крупы овсяная и перловая</t>
  </si>
  <si>
    <t>Пшено</t>
  </si>
  <si>
    <t>Горох и фасоль</t>
  </si>
  <si>
    <t>Овсяные хлопья "Геркулес"</t>
  </si>
  <si>
    <t>Овощи (свежие, мороженые, консервированные) включая соленые и квашеные*, в т.ч. томат-пюре, зелень, г</t>
  </si>
  <si>
    <t>Капуста белокочанная свежая</t>
  </si>
  <si>
    <t>Лук репчатый</t>
  </si>
  <si>
    <t>Морковь</t>
  </si>
  <si>
    <t>Зелень свежая</t>
  </si>
  <si>
    <t>Свекла столовая</t>
  </si>
  <si>
    <t>Огурцы свежие</t>
  </si>
  <si>
    <t>Помидоры свежие</t>
  </si>
  <si>
    <t>Яблоки</t>
  </si>
  <si>
    <t>Груши</t>
  </si>
  <si>
    <t>Бананы</t>
  </si>
  <si>
    <t>Апельсины</t>
  </si>
  <si>
    <t>Ягоды замороженные</t>
  </si>
  <si>
    <t>Лимоны</t>
  </si>
  <si>
    <t>Соки плодовоовощные, напитки витаминизированные, в т.ч. инстантные</t>
  </si>
  <si>
    <t>Субпродукты (печень, язык, сердце)</t>
  </si>
  <si>
    <t>Птица (цыплята-бройлеры потрошеные - 1 кат)</t>
  </si>
  <si>
    <t>Рыба (филе), в т.ч. филе слабо или малосоленое</t>
  </si>
  <si>
    <t>Яйцо, шт.</t>
  </si>
  <si>
    <t>Дрожжи хлебопекарные</t>
  </si>
  <si>
    <t>Крахмал</t>
  </si>
  <si>
    <t>Специи</t>
  </si>
  <si>
    <t>Крупы, бобовые</t>
  </si>
  <si>
    <t xml:space="preserve">Молоко </t>
  </si>
  <si>
    <t>Кисломолочная пищевая продукция</t>
  </si>
  <si>
    <t>Творог (5% - 9% м.д.ж.)</t>
  </si>
  <si>
    <t>Сахар (в том числе для …..)</t>
  </si>
  <si>
    <t>Соль пищевая поваренная йодированная</t>
  </si>
  <si>
    <t>Мясо 1-й категории</t>
  </si>
  <si>
    <t>завтрак</t>
  </si>
  <si>
    <t>обед</t>
  </si>
  <si>
    <t>Установленная стоимость питания всего (руб.), в том числе:</t>
  </si>
  <si>
    <t>Разамер выделенной федеральной субсидии на БГП в 2023 году для субъекта (руб.)</t>
  </si>
  <si>
    <t xml:space="preserve">                управления образования </t>
  </si>
  <si>
    <t xml:space="preserve">       администрации муниципального района </t>
  </si>
  <si>
    <t xml:space="preserve">                   «Корочанский район»                                                   </t>
  </si>
  <si>
    <t>Е.В. Коробкова</t>
  </si>
  <si>
    <t xml:space="preserve">                Заместитель начальника  </t>
  </si>
  <si>
    <t>Цена</t>
  </si>
  <si>
    <t>Средняя цена на 1 учащ-ся</t>
  </si>
  <si>
    <t>Софинансирование 24 %</t>
  </si>
  <si>
    <t>Сухари</t>
  </si>
  <si>
    <t>суточная норма СанПиН</t>
  </si>
  <si>
    <r>
      <t>норма на завтрак 20-</t>
    </r>
    <r>
      <rPr>
        <b/>
        <sz val="11"/>
        <color rgb="FFFF0000"/>
        <rFont val="Times New Roman"/>
        <family val="1"/>
        <charset val="204"/>
      </rPr>
      <t>25%</t>
    </r>
  </si>
  <si>
    <t>отклонение</t>
  </si>
  <si>
    <t xml:space="preserve">норма мин-во </t>
  </si>
  <si>
    <t>яйцо 2 с по 45 гр    1с по 55 гр</t>
  </si>
  <si>
    <t>2с=</t>
  </si>
  <si>
    <t>средняя стоимость</t>
  </si>
  <si>
    <t>выход порции</t>
  </si>
  <si>
    <t>цена за кг</t>
  </si>
  <si>
    <t>сумма</t>
  </si>
  <si>
    <t>яблоко</t>
  </si>
  <si>
    <t>пн</t>
  </si>
  <si>
    <t>сыр твердый</t>
  </si>
  <si>
    <t>каша геркулесовая</t>
  </si>
  <si>
    <t>Наименование сырья</t>
  </si>
  <si>
    <t>Расход сырья и полуфабрикатов</t>
  </si>
  <si>
    <t>Брутто, г</t>
  </si>
  <si>
    <t>Нетто, г</t>
  </si>
  <si>
    <t>Крупа овсяная "Геркулес"</t>
  </si>
  <si>
    <t>Молоко</t>
  </si>
  <si>
    <t>Вода</t>
  </si>
  <si>
    <t>Масло сливочное</t>
  </si>
  <si>
    <t>Соль йодированная</t>
  </si>
  <si>
    <t>Сахар</t>
  </si>
  <si>
    <t>Выход готового блюда</t>
  </si>
  <si>
    <t>-</t>
  </si>
  <si>
    <t>какао с молоком</t>
  </si>
  <si>
    <t>Сахар-песок</t>
  </si>
  <si>
    <t>хлеб пшеничный</t>
  </si>
  <si>
    <t>вт</t>
  </si>
  <si>
    <t>Котлеты, биточки, шницели (2 вариант)</t>
  </si>
  <si>
    <t>Говядина (котлетное мясо)</t>
  </si>
  <si>
    <t>или Вода</t>
  </si>
  <si>
    <t>Хлеб пшеничный</t>
  </si>
  <si>
    <t>Сухари панировочные</t>
  </si>
  <si>
    <t>~ Масса полуфабриката</t>
  </si>
  <si>
    <t>~ Масло растительное для запекания</t>
  </si>
  <si>
    <t>~ Масса готового блюда</t>
  </si>
  <si>
    <t>~ Соус томатный:</t>
  </si>
  <si>
    <t>Бульон мясной</t>
  </si>
  <si>
    <t>Соль пищевая йодированная</t>
  </si>
  <si>
    <t>Сахарный песок</t>
  </si>
  <si>
    <t>Томат-паста</t>
  </si>
  <si>
    <t>Выход</t>
  </si>
  <si>
    <t>Рис отварной с маслом сливочным</t>
  </si>
  <si>
    <t>Крупа рисовая</t>
  </si>
  <si>
    <t xml:space="preserve">Кофейный напиток на молоке </t>
  </si>
  <si>
    <t>Кофейный напиток растворимый</t>
  </si>
  <si>
    <t>ср</t>
  </si>
  <si>
    <t>Салат из моркови с яблоками.</t>
  </si>
  <si>
    <t>Яблоки свежие</t>
  </si>
  <si>
    <t>Джем фруктовый с кусочками фруктов</t>
  </si>
  <si>
    <t>повидло</t>
  </si>
  <si>
    <t>Запеканка из творога</t>
  </si>
  <si>
    <t>Творог</t>
  </si>
  <si>
    <t>Яйцо</t>
  </si>
  <si>
    <t>Ванилин</t>
  </si>
  <si>
    <t>Чай с сахаром</t>
  </si>
  <si>
    <t>батон пшеничный</t>
  </si>
  <si>
    <t>груша</t>
  </si>
  <si>
    <t>чт</t>
  </si>
  <si>
    <t>Говядина по ГОСТ Р 54754</t>
  </si>
  <si>
    <t>Яйцо куриное</t>
  </si>
  <si>
    <t xml:space="preserve">Масло растительное </t>
  </si>
  <si>
    <t>Макароны отварные с маслом сливочным</t>
  </si>
  <si>
    <t>Чай с лимоном</t>
  </si>
  <si>
    <t>Лимон</t>
  </si>
  <si>
    <t>200/4</t>
  </si>
  <si>
    <t>пт</t>
  </si>
  <si>
    <t>Омлет натуральный с маслом</t>
  </si>
  <si>
    <t>Яйцо С-1 (столовое)</t>
  </si>
  <si>
    <t>Яблоко свежее</t>
  </si>
  <si>
    <t>суббота</t>
  </si>
  <si>
    <t>банан</t>
  </si>
  <si>
    <t>Банан</t>
  </si>
  <si>
    <t>Палочки мясные Детские запеченные</t>
  </si>
  <si>
    <t>Мясо котлетное свиное по ГОСТ Р 54754</t>
  </si>
  <si>
    <t xml:space="preserve">Хлеб пшеничный </t>
  </si>
  <si>
    <t xml:space="preserve">Лук репчатый </t>
  </si>
  <si>
    <t>Картофельное пюре с маслом сливочным</t>
  </si>
  <si>
    <t>Картофель свежий</t>
  </si>
  <si>
    <t>Сок</t>
  </si>
  <si>
    <t xml:space="preserve">Сок или нектар или морс или напиток сокосодержащий </t>
  </si>
  <si>
    <t>Апельсин свежий</t>
  </si>
  <si>
    <t>Апельсин</t>
  </si>
  <si>
    <t>Сыр твердо-мягкий порционно</t>
  </si>
  <si>
    <t>Сыр твердо-мягкий с м.д.ж. 45%</t>
  </si>
  <si>
    <t>Каша гречневая молочная с маслом</t>
  </si>
  <si>
    <t>,</t>
  </si>
  <si>
    <t>Салат из моркови</t>
  </si>
  <si>
    <t>морковь</t>
  </si>
  <si>
    <t>сахарный песок</t>
  </si>
  <si>
    <t>растительное масло</t>
  </si>
  <si>
    <t>Фрикадельки из говядины, тушеные в соусе</t>
  </si>
  <si>
    <t>Соус молочный для запекания № 434</t>
  </si>
  <si>
    <t>Каша "Дружба" с маслом сливочным</t>
  </si>
  <si>
    <t>Крупа пшено</t>
  </si>
  <si>
    <t>Запеканка творожно-рисовая с маслом сливочным</t>
  </si>
  <si>
    <t>Творог 5%</t>
  </si>
  <si>
    <t>Тефтели из говядины</t>
  </si>
  <si>
    <t>~ Пассерованный лук</t>
  </si>
  <si>
    <t>~ Масса готовых тефтелей</t>
  </si>
  <si>
    <t>~ Соус томатный</t>
  </si>
  <si>
    <t>Приложение 8 к СанПиН 2.3/2.4.3590-20</t>
  </si>
  <si>
    <t>Примерное меню и пищевая ценность приготовляемых блюд</t>
  </si>
  <si>
    <t xml:space="preserve">Рацион: Школа </t>
  </si>
  <si>
    <t>понедельник</t>
  </si>
  <si>
    <t>Сезон:</t>
  </si>
  <si>
    <t>осенне-весенний</t>
  </si>
  <si>
    <t>ПРИМЕЧАНИЕ: * замена</t>
  </si>
  <si>
    <t>Неделя:</t>
  </si>
  <si>
    <t>Возраст:</t>
  </si>
  <si>
    <t>7-11 лет</t>
  </si>
  <si>
    <t>№ рец. по сборнику</t>
  </si>
  <si>
    <t>Прием пищи, наименование блюда</t>
  </si>
  <si>
    <t>Масса порции</t>
  </si>
  <si>
    <t>Пищевые вещества (г)</t>
  </si>
  <si>
    <t>Энерге-</t>
  </si>
  <si>
    <t>Витамины (мг)</t>
  </si>
  <si>
    <t>Минеральные вещества (мг)</t>
  </si>
  <si>
    <t>Б</t>
  </si>
  <si>
    <t>Ж</t>
  </si>
  <si>
    <t>У</t>
  </si>
  <si>
    <t>тическая ценность (ккал)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</si>
  <si>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</si>
  <si>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</si>
  <si>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</si>
  <si>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</si>
  <si>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</si>
  <si>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</si>
  <si>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</si>
  <si>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</si>
  <si>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</si>
  <si>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</si>
  <si>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</si>
  <si>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>Завтрак молочный</t>
  </si>
  <si>
    <t>Фрукт порционно / Яблоко 1 шт.</t>
  </si>
  <si>
    <t>Сыр твердо-мягкий порционно с м.д.ж. 45%</t>
  </si>
  <si>
    <t>Каша геркулесовая молочная с маслом сливочным</t>
  </si>
  <si>
    <t xml:space="preserve">Какао с молоком </t>
  </si>
  <si>
    <t>ПР</t>
  </si>
  <si>
    <t>Итого за Завтрак молочный</t>
  </si>
  <si>
    <t>% от суточной нормы</t>
  </si>
  <si>
    <t>Обед (полноценный рацион питания)</t>
  </si>
  <si>
    <t>* 47</t>
  </si>
  <si>
    <t>Салат из квашенной капусты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</si>
  <si>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</si>
  <si>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</si>
  <si>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</si>
  <si>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</si>
  <si>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200//4</t>
  </si>
  <si>
    <t>Хлеб ржано-пшеничный</t>
  </si>
  <si>
    <t>Итого за Обед (полноценный рацион питания)</t>
  </si>
  <si>
    <t>Полдник</t>
  </si>
  <si>
    <t>Булочка "Веснушка"</t>
  </si>
  <si>
    <t xml:space="preserve">Компот из смеси сухофруктов     С- витаминизированный </t>
  </si>
  <si>
    <t>Итого за Полдник</t>
  </si>
  <si>
    <t>Итого в день</t>
  </si>
  <si>
    <t>суточная норма</t>
  </si>
  <si>
    <t>Примерное меню и пищевая ценность приготовляемых блюд (лист 2)</t>
  </si>
  <si>
    <t>вторник</t>
  </si>
  <si>
    <t>рец.</t>
  </si>
  <si>
    <t>Завтрак мясной</t>
  </si>
  <si>
    <t xml:space="preserve">Холодная закуска: Овощи порционно / Огурец </t>
  </si>
  <si>
    <t>451 (ДС)</t>
  </si>
  <si>
    <t xml:space="preserve">Рис отварной с маслом сливочным </t>
  </si>
  <si>
    <t>Кофейный напиток на молоке</t>
  </si>
  <si>
    <t>Итого за Завтрак мясной</t>
  </si>
  <si>
    <t>Салат из свеклы с маслом растительным</t>
  </si>
  <si>
    <t>Суп картофельный с крупой (гречневой)</t>
  </si>
  <si>
    <t>4/7</t>
  </si>
  <si>
    <t xml:space="preserve">Рыба, тушенная с овощами </t>
  </si>
  <si>
    <t xml:space="preserve">Картофельное пюре с маслом сливочным </t>
  </si>
  <si>
    <t xml:space="preserve">Булочка сдобная </t>
  </si>
  <si>
    <t>Кисломолочный напиток / Кефир</t>
  </si>
  <si>
    <t>ПРИМЕЧАНИЕ ** могут быть использованы нектары, морсы, напитки сокосодержащие (в т.ч. обогащенные)</t>
  </si>
  <si>
    <t>Примерное меню и пищевая ценность приготовляемых блюд (лист 3)</t>
  </si>
  <si>
    <t>Рацион: Школа</t>
  </si>
  <si>
    <t>среда</t>
  </si>
  <si>
    <t>Салат из моркови с яблоком</t>
  </si>
  <si>
    <t>б/н</t>
  </si>
  <si>
    <t>Повидло</t>
  </si>
  <si>
    <t>54-1т-20</t>
  </si>
  <si>
    <t xml:space="preserve">Батон пшеничный </t>
  </si>
  <si>
    <t>* 21</t>
  </si>
  <si>
    <t>Салат из солёных огурцов с луком</t>
  </si>
  <si>
    <t xml:space="preserve">Салат из свежих помидоров и огурцов с растительным маслом </t>
  </si>
  <si>
    <t>Борщ с капустой и картофелем</t>
  </si>
  <si>
    <t>Плов с птицей</t>
  </si>
  <si>
    <t xml:space="preserve">Компот из свежих яблок и лимона </t>
  </si>
  <si>
    <t>Булочка творожная</t>
  </si>
  <si>
    <t>Примерное меню и пищевая ценность приготовляемых блюд (лист 4)</t>
  </si>
  <si>
    <t>четверг</t>
  </si>
  <si>
    <t>Фрукт порционно / Груша 1 шт.</t>
  </si>
  <si>
    <t>Макаронный изделия с маслом сливочным</t>
  </si>
  <si>
    <t>Икра кабачковая</t>
  </si>
  <si>
    <t xml:space="preserve">Рассольник "Ленинградский" с крупой перловой </t>
  </si>
  <si>
    <t>Бифштекс рубленый "Детский"</t>
  </si>
  <si>
    <t>Булочка "Декор Сложный"</t>
  </si>
  <si>
    <t>Сок фруктовый**</t>
  </si>
  <si>
    <t>Примерное меню и пищевая ценность приготовляемых блюд (лист 5)</t>
  </si>
  <si>
    <t>пятница</t>
  </si>
  <si>
    <t>осенне- весенний</t>
  </si>
  <si>
    <t xml:space="preserve">Омлет натуральный с маслом сливочным </t>
  </si>
  <si>
    <t>Фрукт порционно / Яблоко 1шт</t>
  </si>
  <si>
    <t>138 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</si>
  <si>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</si>
  <si>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</si>
  <si>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</si>
  <si>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</si>
  <si>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Кисель из концентрата на плодовых или ягодных экстрактах</t>
  </si>
  <si>
    <t>Итого средняя за завтрак в неделю</t>
  </si>
  <si>
    <t>Итого средняя за обед в неделю</t>
  </si>
  <si>
    <t>Итого средняя за полдник в неделю</t>
  </si>
  <si>
    <t>Итого  в день за 1 -ую неделю</t>
  </si>
  <si>
    <t>Примерное меню и пищевая ценность приготовляемых блюд (лист 6)</t>
  </si>
  <si>
    <t>Фрукт порционно / Апельсин 1 шт</t>
  </si>
  <si>
    <t xml:space="preserve">Каша гречневая молочная с маслом сливочным </t>
  </si>
  <si>
    <t>Батон пшеничный</t>
  </si>
  <si>
    <t>Борщ "Сибирский" с фасолью</t>
  </si>
  <si>
    <t>Макаронные изделия с маслом сливочным</t>
  </si>
  <si>
    <t>Примерное меню и пищевая ценность приготовляемых блюд (лист 7)</t>
  </si>
  <si>
    <t>Винегрет овощной</t>
  </si>
  <si>
    <t>Суп-лапша домашняя с птицей отварной</t>
  </si>
  <si>
    <t>200//10</t>
  </si>
  <si>
    <t xml:space="preserve">Птица, порционная запечённая </t>
  </si>
  <si>
    <t>Капуста тушеная</t>
  </si>
  <si>
    <t xml:space="preserve">Компот из смеси сухофруктов С- витаминизированный </t>
  </si>
  <si>
    <t>Примерное меню и пищевая ценность приготовляемых блюд (лист 8)</t>
  </si>
  <si>
    <t>*336</t>
  </si>
  <si>
    <t>Морковь припущенная</t>
  </si>
  <si>
    <t>Суп картофельный с крупой (рис)</t>
  </si>
  <si>
    <t xml:space="preserve">Жаркое по- домашнему </t>
  </si>
  <si>
    <t>Примерное меню и пищевая ценность приготовляемых блюд (лист 9)</t>
  </si>
  <si>
    <t>*115</t>
  </si>
  <si>
    <t>Икра кабачковая (промышленного производства)</t>
  </si>
  <si>
    <t xml:space="preserve">Тефтели "Детские" под овощным соусом </t>
  </si>
  <si>
    <t>80/20</t>
  </si>
  <si>
    <t xml:space="preserve">Кофейный напиток с сахаром  </t>
  </si>
  <si>
    <t>Щи из свежей капусты с картофелем</t>
  </si>
  <si>
    <t xml:space="preserve">Рыба, запеченная под соусом </t>
  </si>
  <si>
    <t>Примерное меню и пищевая ценность приготовляемых блюд (лист 10)</t>
  </si>
  <si>
    <t xml:space="preserve">Суп картофельный с вермишелью </t>
  </si>
  <si>
    <t>Каша гречневая рассыпчатая с маслом</t>
  </si>
  <si>
    <t>Итого  в день за 2 -ую неделю</t>
  </si>
  <si>
    <t>ГУЛЯШ ИЗ КУРИНОГО ФИЛЕ.</t>
  </si>
  <si>
    <t>Куриное филе (грудка)</t>
  </si>
  <si>
    <t>Лук</t>
  </si>
  <si>
    <t>Мука</t>
  </si>
  <si>
    <t>Томат паста</t>
  </si>
  <si>
    <t>Соль</t>
  </si>
  <si>
    <t>огурец консервированный</t>
  </si>
  <si>
    <t>огурец консервированный 40</t>
  </si>
  <si>
    <t>огурец свежий</t>
  </si>
  <si>
    <t>Холодная закуска: Овощи порционно / Огурец  свежий</t>
  </si>
  <si>
    <t>Холодная закуска: огурец консервированный</t>
  </si>
  <si>
    <t>19 *</t>
  </si>
  <si>
    <t xml:space="preserve">огурец консервированный </t>
  </si>
  <si>
    <t xml:space="preserve">яблоко свежее </t>
  </si>
  <si>
    <t xml:space="preserve">Холодная закуска: Овощи порционно / Огурец свежий </t>
  </si>
  <si>
    <t>338 *</t>
  </si>
  <si>
    <t>икра кабачковая</t>
  </si>
  <si>
    <r>
      <t xml:space="preserve">Фрукт порционно / </t>
    </r>
    <r>
      <rPr>
        <sz val="10"/>
        <color rgb="FFFF0000"/>
        <rFont val="Times New Roman"/>
        <family val="1"/>
        <charset val="204"/>
      </rPr>
      <t>Банан</t>
    </r>
    <r>
      <rPr>
        <sz val="10"/>
        <color theme="1"/>
        <rFont val="Times New Roman"/>
        <family val="1"/>
        <charset val="204"/>
      </rPr>
      <t xml:space="preserve"> 1 шт.</t>
    </r>
  </si>
  <si>
    <t>12-18 лет</t>
  </si>
  <si>
    <t>250/10</t>
  </si>
  <si>
    <t>Макаронный изделия отварные с маслом сливочным</t>
  </si>
  <si>
    <t xml:space="preserve">Бифштекс рубленый "Детский" </t>
  </si>
  <si>
    <t>Компот из смеси сухофруктов С-витаминизированный</t>
  </si>
  <si>
    <t xml:space="preserve">Суп-лапша домашняя с птицей отварной </t>
  </si>
  <si>
    <t>250/15</t>
  </si>
  <si>
    <t xml:space="preserve">Тефтели "Детские" под соусом </t>
  </si>
  <si>
    <t>338*</t>
  </si>
  <si>
    <t>Вторник</t>
  </si>
  <si>
    <t>Понедельник</t>
  </si>
  <si>
    <t>Четверг</t>
  </si>
  <si>
    <t>Пятница</t>
  </si>
  <si>
    <t>Среда</t>
  </si>
  <si>
    <t>/ Яблоко 1 шт.</t>
  </si>
  <si>
    <t xml:space="preserve"> / Груша 1 шт.</t>
  </si>
  <si>
    <r>
      <t xml:space="preserve"> </t>
    </r>
    <r>
      <rPr>
        <sz val="10"/>
        <color rgb="FFFF0000"/>
        <rFont val="Times New Roman"/>
        <family val="1"/>
        <charset val="204"/>
      </rPr>
      <t>Банан</t>
    </r>
    <r>
      <rPr>
        <sz val="10"/>
        <color theme="1"/>
        <rFont val="Times New Roman"/>
        <family val="1"/>
        <charset val="204"/>
      </rPr>
      <t xml:space="preserve"> 1 шт.</t>
    </r>
  </si>
  <si>
    <t xml:space="preserve">Завтрак молочный </t>
  </si>
  <si>
    <t xml:space="preserve">Завтрак мясной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</si>
</sst>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"/>
    <numFmt numFmtId="166" formatCode="[$-419]d\ mmm;@"/>
    <numFmt numFmtId="167" formatCode="0&quot; порц&quot;"/>
    <numFmt numFmtId="168" formatCode="0.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8"/>
      <name val="Arial"/>
      <family val="2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8"/>
      <color rgb="FFFF0000"/>
      <name val="Arial"/>
      <family val="2"/>
    </font>
    <font>
      <u/>
      <sz val="10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5"/>
      <color rgb="FF000000"/>
      <name val="Arial Unicode MS"/>
      <family val="2"/>
      <charset val="204"/>
    </font>
    <font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47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/>
    <xf numFmtId="0" fontId="2" fillId="4" borderId="6" xfId="0" applyFont="1" applyFill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11" fillId="4" borderId="6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vertical="center" wrapText="1"/>
    </xf>
    <xf numFmtId="164" fontId="5" fillId="3" borderId="6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6" xfId="0" applyFont="1" applyBorder="1"/>
    <xf numFmtId="0" fontId="12" fillId="0" borderId="6" xfId="0" applyFont="1" applyBorder="1"/>
    <xf numFmtId="164" fontId="13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top"/>
    </xf>
    <xf numFmtId="165" fontId="15" fillId="0" borderId="6" xfId="0" applyNumberFormat="1" applyFont="1" applyBorder="1" applyAlignment="1">
      <alignment horizontal="center" vertical="center" wrapText="1"/>
    </xf>
    <xf numFmtId="0" fontId="15" fillId="7" borderId="6" xfId="0" applyFont="1" applyFill="1" applyBorder="1" applyAlignment="1">
      <alignment vertical="center" wrapText="1"/>
    </xf>
    <xf numFmtId="165" fontId="15" fillId="7" borderId="6" xfId="0" applyNumberFormat="1" applyFont="1" applyFill="1" applyBorder="1" applyAlignment="1">
      <alignment horizontal="center" vertical="center" wrapText="1"/>
    </xf>
    <xf numFmtId="164" fontId="14" fillId="7" borderId="6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12" fillId="7" borderId="6" xfId="0" applyFont="1" applyFill="1" applyBorder="1"/>
    <xf numFmtId="0" fontId="12" fillId="7" borderId="6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vertical="center" wrapText="1"/>
    </xf>
    <xf numFmtId="165" fontId="2" fillId="7" borderId="6" xfId="0" applyNumberFormat="1" applyFont="1" applyFill="1" applyBorder="1" applyAlignment="1">
      <alignment horizontal="center" vertical="center" wrapText="1"/>
    </xf>
    <xf numFmtId="164" fontId="5" fillId="7" borderId="6" xfId="0" applyNumberFormat="1" applyFont="1" applyFill="1" applyBorder="1" applyAlignment="1">
      <alignment horizontal="center" vertical="center"/>
    </xf>
    <xf numFmtId="0" fontId="4" fillId="7" borderId="0" xfId="0" applyFont="1" applyFill="1"/>
    <xf numFmtId="0" fontId="4" fillId="7" borderId="6" xfId="0" applyFont="1" applyFill="1" applyBorder="1"/>
    <xf numFmtId="0" fontId="4" fillId="7" borderId="6" xfId="0" applyFont="1" applyFill="1" applyBorder="1" applyAlignment="1">
      <alignment horizontal="center" vertical="top"/>
    </xf>
    <xf numFmtId="0" fontId="3" fillId="7" borderId="6" xfId="0" applyFont="1" applyFill="1" applyBorder="1" applyAlignment="1">
      <alignment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vertical="top"/>
    </xf>
    <xf numFmtId="165" fontId="15" fillId="8" borderId="6" xfId="0" applyNumberFormat="1" applyFont="1" applyFill="1" applyBorder="1" applyAlignment="1">
      <alignment horizontal="center" vertical="center" wrapText="1"/>
    </xf>
    <xf numFmtId="0" fontId="16" fillId="0" borderId="0" xfId="0" applyFont="1"/>
    <xf numFmtId="2" fontId="15" fillId="0" borderId="0" xfId="0" applyNumberFormat="1" applyFont="1"/>
    <xf numFmtId="0" fontId="17" fillId="0" borderId="0" xfId="0" applyFont="1"/>
    <xf numFmtId="0" fontId="9" fillId="9" borderId="0" xfId="0" applyFont="1" applyFill="1" applyAlignment="1">
      <alignment horizontal="center" vertical="top" wrapText="1"/>
    </xf>
    <xf numFmtId="2" fontId="9" fillId="9" borderId="0" xfId="0" applyNumberFormat="1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4" fillId="4" borderId="0" xfId="0" applyNumberFormat="1" applyFont="1" applyFill="1"/>
    <xf numFmtId="2" fontId="16" fillId="4" borderId="0" xfId="0" applyNumberFormat="1" applyFont="1" applyFill="1"/>
    <xf numFmtId="0" fontId="0" fillId="0" borderId="14" xfId="0" applyFont="1" applyBorder="1"/>
    <xf numFmtId="165" fontId="0" fillId="0" borderId="15" xfId="0" applyNumberFormat="1" applyFont="1" applyBorder="1" applyAlignment="1"/>
    <xf numFmtId="165" fontId="0" fillId="0" borderId="16" xfId="0" applyNumberFormat="1" applyFont="1" applyBorder="1" applyAlignment="1"/>
    <xf numFmtId="0" fontId="0" fillId="0" borderId="17" xfId="0" applyFont="1" applyBorder="1" applyAlignment="1">
      <alignment horizontal="left"/>
    </xf>
    <xf numFmtId="165" fontId="0" fillId="0" borderId="17" xfId="0" applyNumberFormat="1" applyFont="1" applyBorder="1" applyAlignment="1"/>
    <xf numFmtId="165" fontId="0" fillId="0" borderId="18" xfId="0" applyNumberFormat="1" applyFont="1" applyBorder="1" applyAlignment="1"/>
    <xf numFmtId="165" fontId="0" fillId="0" borderId="20" xfId="0" applyNumberFormat="1" applyFont="1" applyBorder="1" applyAlignment="1"/>
    <xf numFmtId="165" fontId="0" fillId="0" borderId="21" xfId="0" applyNumberFormat="1" applyFont="1" applyBorder="1" applyAlignment="1"/>
    <xf numFmtId="0" fontId="16" fillId="0" borderId="0" xfId="0" applyFont="1" applyAlignment="1">
      <alignment vertical="top"/>
    </xf>
    <xf numFmtId="0" fontId="0" fillId="0" borderId="6" xfId="0" applyNumberFormat="1" applyFont="1" applyBorder="1" applyAlignment="1">
      <alignment horizontal="left"/>
    </xf>
    <xf numFmtId="0" fontId="4" fillId="4" borderId="0" xfId="0" applyFont="1" applyFill="1"/>
    <xf numFmtId="0" fontId="20" fillId="0" borderId="14" xfId="0" applyFont="1" applyBorder="1"/>
    <xf numFmtId="2" fontId="20" fillId="0" borderId="15" xfId="0" applyNumberFormat="1" applyFont="1" applyBorder="1" applyAlignment="1"/>
    <xf numFmtId="2" fontId="20" fillId="0" borderId="16" xfId="0" applyNumberFormat="1" applyFont="1" applyBorder="1" applyAlignment="1"/>
    <xf numFmtId="0" fontId="20" fillId="0" borderId="17" xfId="0" applyFont="1" applyBorder="1" applyAlignment="1">
      <alignment horizontal="left"/>
    </xf>
    <xf numFmtId="2" fontId="20" fillId="0" borderId="17" xfId="0" applyNumberFormat="1" applyFont="1" applyBorder="1" applyAlignment="1"/>
    <xf numFmtId="2" fontId="20" fillId="0" borderId="18" xfId="0" applyNumberFormat="1" applyFont="1" applyBorder="1" applyAlignment="1"/>
    <xf numFmtId="2" fontId="20" fillId="0" borderId="20" xfId="0" applyNumberFormat="1" applyFont="1" applyBorder="1" applyAlignment="1"/>
    <xf numFmtId="2" fontId="20" fillId="0" borderId="21" xfId="0" applyNumberFormat="1" applyFont="1" applyBorder="1" applyAlignment="1"/>
    <xf numFmtId="0" fontId="20" fillId="0" borderId="6" xfId="0" applyNumberFormat="1" applyFont="1" applyBorder="1" applyAlignment="1">
      <alignment horizontal="left"/>
    </xf>
    <xf numFmtId="0" fontId="16" fillId="0" borderId="22" xfId="0" applyFont="1" applyBorder="1"/>
    <xf numFmtId="0" fontId="17" fillId="0" borderId="22" xfId="0" applyFont="1" applyBorder="1"/>
    <xf numFmtId="0" fontId="4" fillId="0" borderId="22" xfId="0" applyFont="1" applyBorder="1"/>
    <xf numFmtId="0" fontId="4" fillId="10" borderId="0" xfId="0" applyFont="1" applyFill="1"/>
    <xf numFmtId="2" fontId="16" fillId="10" borderId="0" xfId="0" applyNumberFormat="1" applyFont="1" applyFill="1"/>
    <xf numFmtId="0" fontId="15" fillId="0" borderId="0" xfId="0" applyFont="1"/>
    <xf numFmtId="0" fontId="22" fillId="0" borderId="0" xfId="0" applyFont="1"/>
    <xf numFmtId="0" fontId="12" fillId="10" borderId="0" xfId="0" applyFont="1" applyFill="1"/>
    <xf numFmtId="0" fontId="4" fillId="0" borderId="0" xfId="0" applyFont="1" applyFill="1"/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11" borderId="7" xfId="0" applyFont="1" applyFill="1" applyBorder="1" applyAlignment="1">
      <alignment vertical="center" wrapText="1"/>
    </xf>
    <xf numFmtId="0" fontId="17" fillId="11" borderId="9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0" fillId="0" borderId="17" xfId="0" applyFont="1" applyBorder="1"/>
    <xf numFmtId="165" fontId="0" fillId="4" borderId="17" xfId="0" applyNumberFormat="1" applyFont="1" applyFill="1" applyBorder="1" applyAlignment="1"/>
    <xf numFmtId="165" fontId="0" fillId="4" borderId="18" xfId="0" applyNumberFormat="1" applyFont="1" applyFill="1" applyBorder="1" applyAlignment="1"/>
    <xf numFmtId="2" fontId="16" fillId="7" borderId="0" xfId="0" applyNumberFormat="1" applyFont="1" applyFill="1"/>
    <xf numFmtId="165" fontId="0" fillId="0" borderId="7" xfId="0" applyNumberFormat="1" applyFont="1" applyBorder="1" applyAlignment="1"/>
    <xf numFmtId="165" fontId="0" fillId="0" borderId="9" xfId="0" applyNumberFormat="1" applyFont="1" applyBorder="1" applyAlignment="1"/>
    <xf numFmtId="0" fontId="16" fillId="12" borderId="0" xfId="0" applyFont="1" applyFill="1"/>
    <xf numFmtId="0" fontId="0" fillId="0" borderId="10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24" fillId="0" borderId="0" xfId="0" applyFont="1"/>
    <xf numFmtId="0" fontId="4" fillId="12" borderId="0" xfId="0" applyFont="1" applyFill="1"/>
    <xf numFmtId="0" fontId="0" fillId="0" borderId="11" xfId="0" applyNumberFormat="1" applyFont="1" applyBorder="1" applyAlignment="1">
      <alignment horizontal="left"/>
    </xf>
    <xf numFmtId="0" fontId="12" fillId="0" borderId="0" xfId="0" applyFont="1" applyFill="1"/>
    <xf numFmtId="0" fontId="4" fillId="13" borderId="0" xfId="0" applyFont="1" applyFill="1"/>
    <xf numFmtId="0" fontId="16" fillId="13" borderId="0" xfId="0" applyFont="1" applyFill="1"/>
    <xf numFmtId="0" fontId="0" fillId="0" borderId="7" xfId="0" applyNumberFormat="1" applyFont="1" applyBorder="1" applyAlignment="1"/>
    <xf numFmtId="0" fontId="0" fillId="0" borderId="9" xfId="0" applyNumberFormat="1" applyFont="1" applyBorder="1" applyAlignment="1"/>
    <xf numFmtId="0" fontId="16" fillId="14" borderId="0" xfId="0" applyFont="1" applyFill="1"/>
    <xf numFmtId="0" fontId="25" fillId="0" borderId="6" xfId="0" applyNumberFormat="1" applyFont="1" applyBorder="1" applyAlignment="1">
      <alignment horizontal="left"/>
    </xf>
    <xf numFmtId="0" fontId="21" fillId="0" borderId="14" xfId="1" applyFont="1" applyBorder="1"/>
    <xf numFmtId="0" fontId="4" fillId="14" borderId="0" xfId="0" applyFont="1" applyFill="1"/>
    <xf numFmtId="0" fontId="6" fillId="0" borderId="0" xfId="0" applyFont="1"/>
    <xf numFmtId="0" fontId="26" fillId="0" borderId="0" xfId="0" applyFont="1"/>
    <xf numFmtId="0" fontId="0" fillId="0" borderId="17" xfId="0" applyBorder="1" applyAlignment="1"/>
    <xf numFmtId="0" fontId="0" fillId="0" borderId="18" xfId="0" applyBorder="1" applyAlignment="1"/>
    <xf numFmtId="0" fontId="17" fillId="12" borderId="0" xfId="0" applyFont="1" applyFill="1"/>
    <xf numFmtId="2" fontId="16" fillId="12" borderId="0" xfId="0" applyNumberFormat="1" applyFont="1" applyFill="1"/>
    <xf numFmtId="0" fontId="0" fillId="12" borderId="14" xfId="0" applyFont="1" applyFill="1" applyBorder="1"/>
    <xf numFmtId="0" fontId="0" fillId="12" borderId="17" xfId="0" applyFont="1" applyFill="1" applyBorder="1" applyAlignment="1">
      <alignment horizontal="left"/>
    </xf>
    <xf numFmtId="0" fontId="0" fillId="12" borderId="6" xfId="0" applyNumberFormat="1" applyFont="1" applyFill="1" applyBorder="1" applyAlignment="1">
      <alignment horizontal="left"/>
    </xf>
    <xf numFmtId="0" fontId="16" fillId="8" borderId="0" xfId="0" applyFont="1" applyFill="1"/>
    <xf numFmtId="165" fontId="0" fillId="0" borderId="24" xfId="0" applyNumberFormat="1" applyFont="1" applyBorder="1" applyAlignment="1"/>
    <xf numFmtId="165" fontId="0" fillId="0" borderId="23" xfId="0" applyNumberFormat="1" applyFont="1" applyBorder="1" applyAlignment="1"/>
    <xf numFmtId="0" fontId="4" fillId="8" borderId="0" xfId="0" applyFont="1" applyFill="1"/>
    <xf numFmtId="0" fontId="0" fillId="0" borderId="7" xfId="0" applyNumberFormat="1" applyFont="1" applyBorder="1" applyAlignment="1">
      <alignment vertical="center"/>
    </xf>
    <xf numFmtId="0" fontId="0" fillId="0" borderId="9" xfId="0" applyNumberFormat="1" applyFont="1" applyBorder="1" applyAlignment="1">
      <alignment vertical="center"/>
    </xf>
    <xf numFmtId="2" fontId="16" fillId="15" borderId="0" xfId="0" applyNumberFormat="1" applyFont="1" applyFill="1"/>
    <xf numFmtId="0" fontId="4" fillId="15" borderId="0" xfId="0" applyFont="1" applyFill="1"/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165" fontId="0" fillId="0" borderId="0" xfId="0" applyNumberFormat="1" applyFont="1" applyBorder="1" applyAlignment="1"/>
    <xf numFmtId="165" fontId="0" fillId="0" borderId="13" xfId="0" applyNumberFormat="1" applyFont="1" applyBorder="1" applyAlignment="1"/>
    <xf numFmtId="165" fontId="0" fillId="0" borderId="28" xfId="0" applyNumberFormat="1" applyFont="1" applyBorder="1" applyAlignment="1"/>
    <xf numFmtId="2" fontId="16" fillId="13" borderId="0" xfId="0" applyNumberFormat="1" applyFont="1" applyFill="1"/>
    <xf numFmtId="0" fontId="21" fillId="0" borderId="7" xfId="1" applyNumberFormat="1" applyFont="1" applyBorder="1" applyAlignment="1">
      <alignment horizontal="center" vertical="center"/>
    </xf>
    <xf numFmtId="0" fontId="21" fillId="0" borderId="15" xfId="1" applyFont="1" applyBorder="1" applyAlignment="1">
      <alignment horizontal="left"/>
    </xf>
    <xf numFmtId="165" fontId="21" fillId="0" borderId="15" xfId="1" applyNumberFormat="1" applyFont="1" applyBorder="1" applyAlignment="1">
      <alignment horizontal="center"/>
    </xf>
    <xf numFmtId="0" fontId="21" fillId="0" borderId="7" xfId="1" applyNumberFormat="1" applyFont="1" applyBorder="1" applyAlignment="1">
      <alignment horizontal="left"/>
    </xf>
    <xf numFmtId="0" fontId="21" fillId="0" borderId="7" xfId="1" applyNumberFormat="1" applyFont="1" applyBorder="1" applyAlignment="1">
      <alignment horizontal="center"/>
    </xf>
    <xf numFmtId="1" fontId="21" fillId="0" borderId="7" xfId="1" applyNumberFormat="1" applyFont="1" applyBorder="1" applyAlignment="1">
      <alignment horizontal="center"/>
    </xf>
    <xf numFmtId="2" fontId="0" fillId="0" borderId="15" xfId="0" applyNumberFormat="1" applyFont="1" applyBorder="1" applyAlignment="1"/>
    <xf numFmtId="2" fontId="0" fillId="0" borderId="16" xfId="0" applyNumberFormat="1" applyFont="1" applyBorder="1" applyAlignment="1"/>
    <xf numFmtId="2" fontId="0" fillId="0" borderId="17" xfId="0" applyNumberFormat="1" applyFont="1" applyBorder="1" applyAlignment="1"/>
    <xf numFmtId="2" fontId="0" fillId="0" borderId="18" xfId="0" applyNumberFormat="1" applyFont="1" applyBorder="1" applyAlignment="1"/>
    <xf numFmtId="2" fontId="0" fillId="0" borderId="20" xfId="0" applyNumberFormat="1" applyFont="1" applyBorder="1" applyAlignment="1"/>
    <xf numFmtId="2" fontId="0" fillId="0" borderId="21" xfId="0" applyNumberFormat="1" applyFont="1" applyBorder="1" applyAlignment="1"/>
    <xf numFmtId="2" fontId="16" fillId="16" borderId="0" xfId="0" applyNumberFormat="1" applyFont="1" applyFill="1"/>
    <xf numFmtId="2" fontId="16" fillId="0" borderId="0" xfId="0" applyNumberFormat="1" applyFont="1"/>
    <xf numFmtId="0" fontId="4" fillId="16" borderId="0" xfId="0" applyFont="1" applyFill="1"/>
    <xf numFmtId="2" fontId="4" fillId="16" borderId="0" xfId="0" applyNumberFormat="1" applyFont="1" applyFill="1"/>
    <xf numFmtId="0" fontId="16" fillId="11" borderId="0" xfId="0" applyFont="1" applyFill="1"/>
    <xf numFmtId="0" fontId="16" fillId="0" borderId="0" xfId="0" applyFont="1" applyFill="1"/>
    <xf numFmtId="0" fontId="17" fillId="0" borderId="0" xfId="0" applyFont="1" applyFill="1"/>
    <xf numFmtId="0" fontId="21" fillId="0" borderId="17" xfId="1" applyFont="1" applyFill="1" applyBorder="1" applyAlignment="1">
      <alignment horizontal="left"/>
    </xf>
    <xf numFmtId="0" fontId="21" fillId="0" borderId="0" xfId="1" applyNumberFormat="1" applyFont="1" applyFill="1" applyBorder="1" applyAlignment="1">
      <alignment horizontal="center" vertical="center"/>
    </xf>
    <xf numFmtId="0" fontId="4" fillId="14" borderId="22" xfId="0" applyFont="1" applyFill="1" applyBorder="1"/>
    <xf numFmtId="0" fontId="28" fillId="0" borderId="6" xfId="0" applyFont="1" applyFill="1" applyBorder="1" applyAlignment="1">
      <alignment horizontal="justify" vertical="center"/>
    </xf>
    <xf numFmtId="0" fontId="0" fillId="0" borderId="0" xfId="0" applyAlignment="1">
      <alignment vertical="top"/>
    </xf>
    <xf numFmtId="10" fontId="23" fillId="0" borderId="6" xfId="0" applyNumberFormat="1" applyFont="1" applyFill="1" applyBorder="1" applyAlignment="1">
      <alignment horizontal="justify"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vertical="top"/>
    </xf>
    <xf numFmtId="0" fontId="23" fillId="0" borderId="7" xfId="0" applyFont="1" applyFill="1" applyBorder="1" applyAlignment="1">
      <alignment vertical="top"/>
    </xf>
    <xf numFmtId="0" fontId="23" fillId="0" borderId="9" xfId="0" applyFont="1" applyFill="1" applyBorder="1" applyAlignment="1">
      <alignment vertical="top"/>
    </xf>
    <xf numFmtId="49" fontId="17" fillId="0" borderId="6" xfId="0" applyNumberFormat="1" applyFont="1" applyFill="1" applyBorder="1" applyAlignment="1">
      <alignment horizontal="justify" vertical="top"/>
    </xf>
    <xf numFmtId="0" fontId="26" fillId="0" borderId="6" xfId="0" applyFont="1" applyFill="1" applyBorder="1" applyAlignment="1">
      <alignment horizontal="justify" vertical="center"/>
    </xf>
    <xf numFmtId="10" fontId="23" fillId="0" borderId="6" xfId="0" applyNumberFormat="1" applyFont="1" applyFill="1" applyBorder="1" applyAlignment="1">
      <alignment horizontal="justify" vertical="center"/>
    </xf>
    <xf numFmtId="168" fontId="23" fillId="0" borderId="6" xfId="0" applyNumberFormat="1" applyFont="1" applyFill="1" applyBorder="1" applyAlignment="1">
      <alignment horizontal="justify" vertical="center"/>
    </xf>
    <xf numFmtId="0" fontId="23" fillId="0" borderId="8" xfId="0" applyFont="1" applyFill="1" applyBorder="1" applyAlignment="1">
      <alignment vertical="top"/>
    </xf>
    <xf numFmtId="0" fontId="0" fillId="0" borderId="0" xfId="0" applyFont="1"/>
    <xf numFmtId="0" fontId="17" fillId="4" borderId="6" xfId="0" applyFont="1" applyFill="1" applyBorder="1" applyAlignment="1">
      <alignment horizontal="justify" vertical="center"/>
    </xf>
    <xf numFmtId="0" fontId="23" fillId="0" borderId="6" xfId="0" applyNumberFormat="1" applyFont="1" applyFill="1" applyBorder="1" applyAlignment="1">
      <alignment horizontal="justify" vertical="center"/>
    </xf>
    <xf numFmtId="0" fontId="0" fillId="0" borderId="0" xfId="0" applyFill="1"/>
    <xf numFmtId="0" fontId="17" fillId="0" borderId="6" xfId="0" applyFont="1" applyBorder="1" applyAlignment="1">
      <alignment horizontal="justify" vertical="top" wrapText="1"/>
    </xf>
    <xf numFmtId="2" fontId="23" fillId="0" borderId="6" xfId="0" applyNumberFormat="1" applyFont="1" applyFill="1" applyBorder="1" applyAlignment="1">
      <alignment horizontal="justify" vertical="top"/>
    </xf>
    <xf numFmtId="0" fontId="0" fillId="0" borderId="0" xfId="0" applyFont="1" applyFill="1"/>
    <xf numFmtId="0" fontId="0" fillId="0" borderId="6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/>
    </xf>
    <xf numFmtId="165" fontId="0" fillId="0" borderId="17" xfId="0" applyNumberFormat="1" applyFont="1" applyBorder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0" fontId="4" fillId="9" borderId="0" xfId="0" applyFont="1" applyFill="1"/>
    <xf numFmtId="165" fontId="0" fillId="0" borderId="25" xfId="0" applyNumberFormat="1" applyFont="1" applyBorder="1" applyAlignment="1"/>
    <xf numFmtId="165" fontId="0" fillId="0" borderId="26" xfId="0" applyNumberFormat="1" applyFont="1" applyBorder="1" applyAlignment="1"/>
    <xf numFmtId="0" fontId="30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2" fillId="0" borderId="6" xfId="0" applyFont="1" applyFill="1" applyBorder="1" applyAlignment="1">
      <alignment horizontal="justify" vertical="top"/>
    </xf>
    <xf numFmtId="0" fontId="18" fillId="0" borderId="7" xfId="0" applyNumberFormat="1" applyFont="1" applyBorder="1" applyAlignment="1">
      <alignment vertical="center"/>
    </xf>
    <xf numFmtId="0" fontId="18" fillId="0" borderId="8" xfId="0" applyNumberFormat="1" applyFont="1" applyBorder="1" applyAlignment="1">
      <alignment vertical="center"/>
    </xf>
    <xf numFmtId="167" fontId="0" fillId="0" borderId="7" xfId="0" applyNumberFormat="1" applyFont="1" applyBorder="1" applyAlignment="1">
      <alignment vertical="center"/>
    </xf>
    <xf numFmtId="167" fontId="0" fillId="0" borderId="8" xfId="0" applyNumberFormat="1" applyFont="1" applyBorder="1" applyAlignment="1">
      <alignment vertical="center"/>
    </xf>
    <xf numFmtId="167" fontId="0" fillId="0" borderId="9" xfId="0" applyNumberFormat="1" applyFont="1" applyBorder="1" applyAlignment="1">
      <alignment vertical="center"/>
    </xf>
    <xf numFmtId="1" fontId="0" fillId="0" borderId="7" xfId="0" applyNumberFormat="1" applyFont="1" applyBorder="1" applyAlignment="1"/>
    <xf numFmtId="1" fontId="0" fillId="0" borderId="9" xfId="0" applyNumberFormat="1" applyFont="1" applyBorder="1" applyAlignment="1"/>
    <xf numFmtId="0" fontId="19" fillId="0" borderId="7" xfId="0" applyNumberFormat="1" applyFont="1" applyBorder="1" applyAlignment="1">
      <alignment vertical="center"/>
    </xf>
    <xf numFmtId="0" fontId="19" fillId="0" borderId="8" xfId="0" applyNumberFormat="1" applyFont="1" applyBorder="1" applyAlignment="1">
      <alignment vertical="center"/>
    </xf>
    <xf numFmtId="167" fontId="20" fillId="0" borderId="6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1" fillId="0" borderId="0" xfId="1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165" fontId="31" fillId="0" borderId="0" xfId="1" applyNumberFormat="1" applyFont="1" applyFill="1" applyBorder="1" applyAlignment="1"/>
    <xf numFmtId="0" fontId="4" fillId="0" borderId="0" xfId="0" applyFont="1" applyFill="1" applyBorder="1"/>
    <xf numFmtId="0" fontId="17" fillId="0" borderId="0" xfId="0" applyFont="1" applyBorder="1"/>
    <xf numFmtId="0" fontId="4" fillId="0" borderId="0" xfId="0" applyFont="1" applyBorder="1"/>
    <xf numFmtId="0" fontId="20" fillId="0" borderId="10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24" fillId="10" borderId="0" xfId="0" applyFont="1" applyFill="1"/>
    <xf numFmtId="0" fontId="0" fillId="0" borderId="0" xfId="0" applyFont="1" applyBorder="1" applyAlignment="1"/>
    <xf numFmtId="165" fontId="21" fillId="0" borderId="17" xfId="1" applyNumberFormat="1" applyFont="1" applyFill="1" applyBorder="1" applyAlignment="1"/>
    <xf numFmtId="165" fontId="21" fillId="0" borderId="18" xfId="1" applyNumberFormat="1" applyFont="1" applyFill="1" applyBorder="1" applyAlignment="1"/>
    <xf numFmtId="0" fontId="32" fillId="0" borderId="14" xfId="1" applyFont="1" applyBorder="1"/>
    <xf numFmtId="0" fontId="22" fillId="0" borderId="0" xfId="0" applyFont="1" applyBorder="1"/>
    <xf numFmtId="0" fontId="12" fillId="0" borderId="0" xfId="0" applyFont="1" applyBorder="1"/>
    <xf numFmtId="0" fontId="25" fillId="0" borderId="0" xfId="0" applyFont="1" applyBorder="1" applyAlignment="1">
      <alignment horizontal="left"/>
    </xf>
    <xf numFmtId="165" fontId="25" fillId="0" borderId="0" xfId="0" applyNumberFormat="1" applyFont="1" applyBorder="1" applyAlignment="1"/>
    <xf numFmtId="0" fontId="27" fillId="0" borderId="0" xfId="1" applyFont="1" applyBorder="1"/>
    <xf numFmtId="0" fontId="12" fillId="0" borderId="0" xfId="0" applyFont="1" applyFill="1" applyBorder="1"/>
    <xf numFmtId="0" fontId="28" fillId="0" borderId="6" xfId="0" applyFont="1" applyFill="1" applyBorder="1" applyAlignment="1">
      <alignment horizontal="justify" vertical="top"/>
    </xf>
    <xf numFmtId="0" fontId="1" fillId="0" borderId="6" xfId="0" applyFont="1" applyFill="1" applyBorder="1" applyAlignment="1">
      <alignment vertical="top"/>
    </xf>
    <xf numFmtId="49" fontId="17" fillId="0" borderId="6" xfId="0" applyNumberFormat="1" applyFont="1" applyFill="1" applyBorder="1" applyAlignment="1">
      <alignment horizontal="justify" vertical="center"/>
    </xf>
    <xf numFmtId="9" fontId="23" fillId="0" borderId="6" xfId="0" applyNumberFormat="1" applyFont="1" applyFill="1" applyBorder="1" applyAlignment="1">
      <alignment horizontal="justify" vertical="top"/>
    </xf>
    <xf numFmtId="0" fontId="22" fillId="0" borderId="6" xfId="0" applyFont="1" applyFill="1" applyBorder="1" applyAlignment="1">
      <alignment horizontal="justify" vertical="center"/>
    </xf>
    <xf numFmtId="10" fontId="23" fillId="0" borderId="10" xfId="0" applyNumberFormat="1" applyFont="1" applyFill="1" applyBorder="1" applyAlignment="1">
      <alignment horizontal="justify" vertical="top"/>
    </xf>
    <xf numFmtId="2" fontId="23" fillId="0" borderId="32" xfId="0" applyNumberFormat="1" applyFont="1" applyFill="1" applyBorder="1" applyAlignment="1">
      <alignment horizontal="justify" vertical="top"/>
    </xf>
    <xf numFmtId="0" fontId="23" fillId="0" borderId="0" xfId="0" applyFont="1" applyFill="1" applyBorder="1" applyAlignment="1">
      <alignment horizontal="justify" vertical="top"/>
    </xf>
    <xf numFmtId="0" fontId="33" fillId="0" borderId="6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center" vertical="top" wrapText="1"/>
    </xf>
    <xf numFmtId="0" fontId="17" fillId="6" borderId="6" xfId="0" applyFont="1" applyFill="1" applyBorder="1" applyAlignment="1">
      <alignment horizontal="justify" vertical="top" wrapText="1"/>
    </xf>
    <xf numFmtId="0" fontId="17" fillId="6" borderId="6" xfId="0" applyFont="1" applyFill="1" applyBorder="1" applyAlignment="1">
      <alignment horizontal="justify" vertical="top"/>
    </xf>
    <xf numFmtId="0" fontId="17" fillId="17" borderId="6" xfId="0" applyFont="1" applyFill="1" applyBorder="1" applyAlignment="1">
      <alignment horizontal="justify" vertical="top"/>
    </xf>
    <xf numFmtId="0" fontId="23" fillId="0" borderId="6" xfId="0" applyFont="1" applyFill="1" applyBorder="1" applyAlignment="1">
      <alignment horizontal="justify" vertical="top"/>
    </xf>
    <xf numFmtId="0" fontId="23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justify" vertical="center"/>
    </xf>
    <xf numFmtId="0" fontId="23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top" wrapText="1"/>
    </xf>
    <xf numFmtId="0" fontId="23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center"/>
    </xf>
    <xf numFmtId="0" fontId="17" fillId="4" borderId="6" xfId="0" applyFont="1" applyFill="1" applyBorder="1" applyAlignment="1">
      <alignment horizontal="justify" vertical="top" wrapText="1"/>
    </xf>
    <xf numFmtId="0" fontId="23" fillId="0" borderId="6" xfId="0" applyFont="1" applyFill="1" applyBorder="1" applyAlignment="1">
      <alignment horizontal="justify" vertical="top"/>
    </xf>
    <xf numFmtId="0" fontId="23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top" wrapText="1"/>
    </xf>
    <xf numFmtId="0" fontId="17" fillId="4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top"/>
    </xf>
    <xf numFmtId="0" fontId="17" fillId="4" borderId="6" xfId="0" applyFont="1" applyFill="1" applyBorder="1" applyAlignment="1">
      <alignment horizontal="justify" vertical="top"/>
    </xf>
    <xf numFmtId="10" fontId="23" fillId="0" borderId="8" xfId="0" applyNumberFormat="1" applyFont="1" applyFill="1" applyBorder="1" applyAlignment="1">
      <alignment horizontal="justify" vertical="top"/>
    </xf>
    <xf numFmtId="168" fontId="23" fillId="0" borderId="8" xfId="0" applyNumberFormat="1" applyFont="1" applyFill="1" applyBorder="1" applyAlignment="1">
      <alignment horizontal="justify" vertical="top"/>
    </xf>
    <xf numFmtId="10" fontId="23" fillId="0" borderId="9" xfId="0" applyNumberFormat="1" applyFont="1" applyFill="1" applyBorder="1" applyAlignment="1">
      <alignment horizontal="justify" vertical="top"/>
    </xf>
    <xf numFmtId="0" fontId="23" fillId="0" borderId="6" xfId="0" applyFont="1" applyFill="1" applyBorder="1" applyAlignment="1">
      <alignment horizontal="justify" vertical="top"/>
    </xf>
    <xf numFmtId="0" fontId="23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top" wrapText="1"/>
    </xf>
    <xf numFmtId="0" fontId="23" fillId="0" borderId="7" xfId="0" applyFont="1" applyFill="1" applyBorder="1" applyAlignment="1">
      <alignment horizontal="left" vertical="top"/>
    </xf>
    <xf numFmtId="0" fontId="23" fillId="0" borderId="9" xfId="0" applyFont="1" applyFill="1" applyBorder="1" applyAlignment="1">
      <alignment horizontal="left" vertical="top"/>
    </xf>
    <xf numFmtId="0" fontId="17" fillId="4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top"/>
    </xf>
    <xf numFmtId="0" fontId="17" fillId="4" borderId="6" xfId="0" applyFont="1" applyFill="1" applyBorder="1" applyAlignment="1">
      <alignment horizontal="justify" vertical="top"/>
    </xf>
    <xf numFmtId="0" fontId="23" fillId="0" borderId="6" xfId="0" applyFont="1" applyFill="1" applyBorder="1" applyAlignment="1">
      <alignment horizontal="left" vertical="top"/>
    </xf>
    <xf numFmtId="0" fontId="17" fillId="0" borderId="6" xfId="0" applyFont="1" applyFill="1" applyBorder="1" applyAlignment="1">
      <alignment horizontal="justify" vertical="center"/>
    </xf>
    <xf numFmtId="0" fontId="23" fillId="0" borderId="6" xfId="0" applyFont="1" applyFill="1" applyBorder="1" applyAlignment="1">
      <alignment horizontal="justify" vertical="center"/>
    </xf>
    <xf numFmtId="0" fontId="23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top"/>
    </xf>
    <xf numFmtId="0" fontId="23" fillId="0" borderId="7" xfId="0" applyFont="1" applyFill="1" applyBorder="1" applyAlignment="1">
      <alignment horizontal="left" vertical="top"/>
    </xf>
    <xf numFmtId="0" fontId="23" fillId="0" borderId="9" xfId="0" applyFont="1" applyFill="1" applyBorder="1" applyAlignment="1">
      <alignment horizontal="left" vertical="top"/>
    </xf>
    <xf numFmtId="0" fontId="23" fillId="0" borderId="6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justify" vertical="center"/>
    </xf>
    <xf numFmtId="0" fontId="23" fillId="0" borderId="6" xfId="0" applyFont="1" applyFill="1" applyBorder="1" applyAlignment="1">
      <alignment horizontal="justify" vertical="top"/>
    </xf>
    <xf numFmtId="0" fontId="23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justify" vertical="center"/>
    </xf>
    <xf numFmtId="0" fontId="17" fillId="4" borderId="6" xfId="0" applyFont="1" applyFill="1" applyBorder="1" applyAlignment="1">
      <alignment horizontal="justify" vertical="top" wrapText="1"/>
    </xf>
    <xf numFmtId="0" fontId="23" fillId="0" borderId="7" xfId="0" applyFont="1" applyFill="1" applyBorder="1" applyAlignment="1">
      <alignment horizontal="justify" vertical="top"/>
    </xf>
    <xf numFmtId="0" fontId="23" fillId="0" borderId="8" xfId="0" applyFont="1" applyFill="1" applyBorder="1" applyAlignment="1">
      <alignment horizontal="justify" vertical="top"/>
    </xf>
    <xf numFmtId="0" fontId="23" fillId="0" borderId="9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top"/>
    </xf>
    <xf numFmtId="0" fontId="17" fillId="4" borderId="6" xfId="0" applyFont="1" applyFill="1" applyBorder="1" applyAlignment="1">
      <alignment horizontal="justify" vertical="top"/>
    </xf>
    <xf numFmtId="10" fontId="17" fillId="0" borderId="6" xfId="0" applyNumberFormat="1" applyFont="1" applyFill="1" applyBorder="1" applyAlignment="1">
      <alignment horizontal="justify"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65" fontId="0" fillId="0" borderId="14" xfId="0" applyNumberFormat="1" applyFont="1" applyBorder="1" applyAlignment="1">
      <alignment horizontal="center"/>
    </xf>
    <xf numFmtId="165" fontId="0" fillId="0" borderId="17" xfId="0" applyNumberFormat="1" applyFont="1" applyBorder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/>
    </xf>
    <xf numFmtId="165" fontId="21" fillId="0" borderId="17" xfId="1" applyNumberFormat="1" applyFont="1" applyFill="1" applyBorder="1" applyAlignment="1">
      <alignment horizontal="center"/>
    </xf>
    <xf numFmtId="165" fontId="21" fillId="0" borderId="18" xfId="1" applyNumberFormat="1" applyFont="1" applyFill="1" applyBorder="1" applyAlignment="1">
      <alignment horizontal="center"/>
    </xf>
    <xf numFmtId="0" fontId="21" fillId="0" borderId="17" xfId="1" applyFill="1" applyBorder="1" applyAlignment="1">
      <alignment horizontal="center"/>
    </xf>
    <xf numFmtId="0" fontId="21" fillId="0" borderId="18" xfId="1" applyFill="1" applyBorder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0" fillId="0" borderId="25" xfId="0" applyNumberFormat="1" applyFont="1" applyBorder="1" applyAlignment="1">
      <alignment horizontal="center"/>
    </xf>
    <xf numFmtId="0" fontId="0" fillId="0" borderId="29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165" fontId="27" fillId="0" borderId="0" xfId="1" applyNumberFormat="1" applyFont="1" applyBorder="1" applyAlignment="1">
      <alignment horizontal="center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0" fillId="12" borderId="6" xfId="0" applyNumberFormat="1" applyFont="1" applyFill="1" applyBorder="1" applyAlignment="1">
      <alignment horizontal="center"/>
    </xf>
    <xf numFmtId="1" fontId="0" fillId="12" borderId="6" xfId="0" applyNumberFormat="1" applyFont="1" applyFill="1" applyBorder="1" applyAlignment="1">
      <alignment horizontal="center"/>
    </xf>
    <xf numFmtId="1" fontId="0" fillId="12" borderId="14" xfId="0" applyNumberFormat="1" applyFont="1" applyFill="1" applyBorder="1" applyAlignment="1">
      <alignment horizontal="center"/>
    </xf>
    <xf numFmtId="165" fontId="0" fillId="12" borderId="17" xfId="0" applyNumberFormat="1" applyFont="1" applyFill="1" applyBorder="1" applyAlignment="1">
      <alignment horizontal="center"/>
    </xf>
    <xf numFmtId="165" fontId="0" fillId="12" borderId="18" xfId="0" applyNumberFormat="1" applyFont="1" applyFill="1" applyBorder="1" applyAlignment="1">
      <alignment horizontal="center"/>
    </xf>
    <xf numFmtId="165" fontId="0" fillId="12" borderId="14" xfId="0" applyNumberFormat="1" applyFont="1" applyFill="1" applyBorder="1" applyAlignment="1">
      <alignment horizontal="center"/>
    </xf>
    <xf numFmtId="0" fontId="0" fillId="12" borderId="6" xfId="0" applyNumberFormat="1" applyFont="1" applyFill="1" applyBorder="1" applyAlignment="1">
      <alignment horizontal="center" vertical="center"/>
    </xf>
    <xf numFmtId="165" fontId="21" fillId="0" borderId="14" xfId="1" applyNumberFormat="1" applyFont="1" applyBorder="1" applyAlignment="1">
      <alignment horizontal="center"/>
    </xf>
    <xf numFmtId="0" fontId="25" fillId="0" borderId="6" xfId="0" applyNumberFormat="1" applyFont="1" applyBorder="1" applyAlignment="1">
      <alignment horizontal="center"/>
    </xf>
    <xf numFmtId="1" fontId="25" fillId="0" borderId="6" xfId="0" applyNumberFormat="1" applyFont="1" applyBorder="1" applyAlignment="1">
      <alignment horizontal="center"/>
    </xf>
    <xf numFmtId="0" fontId="21" fillId="0" borderId="6" xfId="1" applyNumberFormat="1" applyFont="1" applyBorder="1" applyAlignment="1">
      <alignment horizontal="center" vertical="center"/>
    </xf>
    <xf numFmtId="0" fontId="25" fillId="0" borderId="11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/>
    </xf>
    <xf numFmtId="165" fontId="0" fillId="0" borderId="19" xfId="0" applyNumberFormat="1" applyFont="1" applyBorder="1" applyAlignment="1">
      <alignment horizontal="center"/>
    </xf>
    <xf numFmtId="165" fontId="0" fillId="0" borderId="23" xfId="0" applyNumberFormat="1" applyFont="1" applyBorder="1" applyAlignment="1">
      <alignment horizontal="center"/>
    </xf>
    <xf numFmtId="165" fontId="25" fillId="0" borderId="23" xfId="0" applyNumberFormat="1" applyFont="1" applyBorder="1" applyAlignment="1">
      <alignment horizontal="center"/>
    </xf>
    <xf numFmtId="165" fontId="25" fillId="0" borderId="14" xfId="0" applyNumberFormat="1" applyFont="1" applyBorder="1" applyAlignment="1">
      <alignment horizontal="center"/>
    </xf>
    <xf numFmtId="0" fontId="19" fillId="0" borderId="10" xfId="0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167" fontId="20" fillId="0" borderId="6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18" fillId="0" borderId="10" xfId="0" applyNumberFormat="1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18" fillId="0" borderId="13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21" fillId="0" borderId="0" xfId="1" applyFill="1" applyBorder="1" applyAlignment="1">
      <alignment horizont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165" fontId="0" fillId="0" borderId="15" xfId="0" applyNumberFormat="1" applyFont="1" applyBorder="1" applyAlignment="1">
      <alignment horizontal="center"/>
    </xf>
    <xf numFmtId="165" fontId="0" fillId="0" borderId="16" xfId="0" applyNumberFormat="1" applyFont="1" applyBorder="1" applyAlignment="1">
      <alignment horizontal="center"/>
    </xf>
    <xf numFmtId="165" fontId="0" fillId="0" borderId="20" xfId="0" applyNumberFormat="1" applyFont="1" applyBorder="1" applyAlignment="1">
      <alignment horizontal="center"/>
    </xf>
    <xf numFmtId="165" fontId="0" fillId="0" borderId="21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165" fontId="32" fillId="0" borderId="14" xfId="1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0" fontId="17" fillId="0" borderId="6" xfId="0" applyFont="1" applyFill="1" applyBorder="1" applyAlignment="1">
      <alignment horizontal="justify" vertical="center"/>
    </xf>
    <xf numFmtId="0" fontId="23" fillId="0" borderId="6" xfId="0" applyFont="1" applyFill="1" applyBorder="1" applyAlignment="1">
      <alignment horizontal="justify" vertical="center"/>
    </xf>
    <xf numFmtId="0" fontId="23" fillId="0" borderId="7" xfId="0" applyFont="1" applyFill="1" applyBorder="1" applyAlignment="1">
      <alignment horizontal="justify" vertical="top"/>
    </xf>
    <xf numFmtId="0" fontId="23" fillId="0" borderId="8" xfId="0" applyFont="1" applyFill="1" applyBorder="1" applyAlignment="1">
      <alignment horizontal="justify" vertical="top"/>
    </xf>
    <xf numFmtId="0" fontId="23" fillId="0" borderId="9" xfId="0" applyFont="1" applyFill="1" applyBorder="1" applyAlignment="1">
      <alignment horizontal="justify" vertical="top"/>
    </xf>
    <xf numFmtId="0" fontId="23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justify" vertical="top" wrapText="1"/>
    </xf>
    <xf numFmtId="0" fontId="17" fillId="4" borderId="9" xfId="0" applyFont="1" applyFill="1" applyBorder="1" applyAlignment="1">
      <alignment horizontal="justify" vertical="top" wrapText="1"/>
    </xf>
    <xf numFmtId="0" fontId="17" fillId="0" borderId="7" xfId="0" applyFont="1" applyFill="1" applyBorder="1" applyAlignment="1">
      <alignment horizontal="justify" vertical="top" wrapText="1"/>
    </xf>
    <xf numFmtId="0" fontId="17" fillId="0" borderId="9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top"/>
    </xf>
    <xf numFmtId="0" fontId="23" fillId="0" borderId="8" xfId="0" applyFont="1" applyFill="1" applyBorder="1" applyAlignment="1">
      <alignment horizontal="left" vertical="top"/>
    </xf>
    <xf numFmtId="0" fontId="23" fillId="0" borderId="9" xfId="0" applyFont="1" applyFill="1" applyBorder="1" applyAlignment="1">
      <alignment horizontal="left" vertical="top"/>
    </xf>
    <xf numFmtId="0" fontId="23" fillId="0" borderId="6" xfId="0" applyFont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justify" vertical="top"/>
    </xf>
    <xf numFmtId="10" fontId="23" fillId="0" borderId="8" xfId="0" applyNumberFormat="1" applyFont="1" applyFill="1" applyBorder="1" applyAlignment="1">
      <alignment horizontal="justify" vertical="top"/>
    </xf>
    <xf numFmtId="10" fontId="23" fillId="0" borderId="9" xfId="0" applyNumberFormat="1" applyFont="1" applyFill="1" applyBorder="1" applyAlignment="1">
      <alignment horizontal="justify" vertical="top"/>
    </xf>
    <xf numFmtId="0" fontId="23" fillId="0" borderId="7" xfId="0" applyFont="1" applyBorder="1" applyAlignment="1">
      <alignment horizontal="justify" vertical="top"/>
    </xf>
    <xf numFmtId="0" fontId="23" fillId="0" borderId="8" xfId="0" applyFont="1" applyBorder="1" applyAlignment="1">
      <alignment horizontal="justify" vertical="top"/>
    </xf>
    <xf numFmtId="0" fontId="23" fillId="0" borderId="9" xfId="0" applyFont="1" applyBorder="1" applyAlignment="1">
      <alignment horizontal="justify" vertical="top"/>
    </xf>
    <xf numFmtId="0" fontId="17" fillId="0" borderId="7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justify" vertical="center" wrapText="1"/>
    </xf>
    <xf numFmtId="0" fontId="26" fillId="0" borderId="6" xfId="0" applyFont="1" applyFill="1" applyBorder="1" applyAlignment="1">
      <alignment horizontal="justify" vertical="center" wrapText="1"/>
    </xf>
    <xf numFmtId="0" fontId="22" fillId="0" borderId="7" xfId="0" applyFont="1" applyFill="1" applyBorder="1" applyAlignment="1">
      <alignment horizontal="justify" vertical="top" wrapText="1"/>
    </xf>
    <xf numFmtId="0" fontId="22" fillId="0" borderId="9" xfId="0" applyFont="1" applyFill="1" applyBorder="1" applyAlignment="1">
      <alignment horizontal="justify" vertical="top" wrapText="1"/>
    </xf>
    <xf numFmtId="0" fontId="17" fillId="4" borderId="7" xfId="0" applyFont="1" applyFill="1" applyBorder="1" applyAlignment="1">
      <alignment horizontal="justify" vertical="center" wrapText="1"/>
    </xf>
    <xf numFmtId="0" fontId="17" fillId="4" borderId="9" xfId="0" applyFont="1" applyFill="1" applyBorder="1" applyAlignment="1">
      <alignment horizontal="justify" vertical="center" wrapText="1"/>
    </xf>
    <xf numFmtId="0" fontId="23" fillId="0" borderId="7" xfId="0" applyFont="1" applyFill="1" applyBorder="1" applyAlignment="1">
      <alignment horizontal="justify" vertical="center"/>
    </xf>
    <xf numFmtId="0" fontId="23" fillId="0" borderId="8" xfId="0" applyFont="1" applyFill="1" applyBorder="1" applyAlignment="1">
      <alignment horizontal="justify" vertical="center"/>
    </xf>
    <xf numFmtId="0" fontId="23" fillId="0" borderId="9" xfId="0" applyFont="1" applyFill="1" applyBorder="1" applyAlignment="1">
      <alignment horizontal="justify" vertical="center"/>
    </xf>
    <xf numFmtId="0" fontId="22" fillId="0" borderId="6" xfId="0" applyFont="1" applyFill="1" applyBorder="1" applyAlignment="1">
      <alignment horizontal="justify" vertical="center" wrapText="1"/>
    </xf>
    <xf numFmtId="0" fontId="22" fillId="4" borderId="6" xfId="0" applyFont="1" applyFill="1" applyBorder="1" applyAlignment="1">
      <alignment horizontal="justify" vertical="top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justify" vertical="top" wrapText="1"/>
    </xf>
    <xf numFmtId="0" fontId="23" fillId="0" borderId="10" xfId="0" applyFont="1" applyFill="1" applyBorder="1" applyAlignment="1">
      <alignment horizontal="justify" vertical="top"/>
    </xf>
    <xf numFmtId="0" fontId="17" fillId="0" borderId="7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23" fillId="0" borderId="32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center" vertical="top" wrapText="1"/>
    </xf>
    <xf numFmtId="0" fontId="17" fillId="4" borderId="6" xfId="0" applyFont="1" applyFill="1" applyBorder="1" applyAlignment="1">
      <alignment horizontal="justify" vertical="top"/>
    </xf>
    <xf numFmtId="0" fontId="17" fillId="17" borderId="6" xfId="0" applyFont="1" applyFill="1" applyBorder="1" applyAlignment="1">
      <alignment horizontal="justify" vertical="top" wrapText="1"/>
    </xf>
    <xf numFmtId="0" fontId="23" fillId="0" borderId="10" xfId="0" applyFont="1" applyFill="1" applyBorder="1" applyAlignment="1">
      <alignment horizontal="justify" vertical="center"/>
    </xf>
    <xf numFmtId="0" fontId="17" fillId="4" borderId="10" xfId="0" applyFont="1" applyFill="1" applyBorder="1" applyAlignment="1">
      <alignment horizontal="justify" vertical="center"/>
    </xf>
    <xf numFmtId="0" fontId="17" fillId="0" borderId="10" xfId="0" applyFont="1" applyFill="1" applyBorder="1" applyAlignment="1">
      <alignment horizontal="justify" vertical="center"/>
    </xf>
    <xf numFmtId="0" fontId="23" fillId="0" borderId="6" xfId="0" applyFont="1" applyBorder="1" applyAlignment="1">
      <alignment horizontal="justify" vertical="center"/>
    </xf>
    <xf numFmtId="0" fontId="23" fillId="0" borderId="7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left" vertical="top" wrapText="1"/>
    </xf>
    <xf numFmtId="0" fontId="17" fillId="6" borderId="6" xfId="0" applyFont="1" applyFill="1" applyBorder="1" applyAlignment="1">
      <alignment horizontal="justify" vertical="top" wrapText="1"/>
    </xf>
    <xf numFmtId="0" fontId="17" fillId="4" borderId="7" xfId="0" applyFont="1" applyFill="1" applyBorder="1" applyAlignment="1">
      <alignment horizontal="justify" vertical="top"/>
    </xf>
    <xf numFmtId="0" fontId="17" fillId="4" borderId="8" xfId="0" applyFont="1" applyFill="1" applyBorder="1" applyAlignment="1">
      <alignment horizontal="justify" vertical="top"/>
    </xf>
    <xf numFmtId="0" fontId="17" fillId="4" borderId="9" xfId="0" applyFont="1" applyFill="1" applyBorder="1" applyAlignment="1">
      <alignment horizontal="justify" vertical="top"/>
    </xf>
    <xf numFmtId="0" fontId="17" fillId="0" borderId="7" xfId="0" applyFont="1" applyFill="1" applyBorder="1" applyAlignment="1">
      <alignment horizontal="justify" vertical="top"/>
    </xf>
    <xf numFmtId="0" fontId="17" fillId="0" borderId="8" xfId="0" applyFont="1" applyFill="1" applyBorder="1" applyAlignment="1">
      <alignment horizontal="justify" vertical="top"/>
    </xf>
    <xf numFmtId="0" fontId="17" fillId="0" borderId="9" xfId="0" applyFont="1" applyFill="1" applyBorder="1" applyAlignment="1">
      <alignment horizontal="justify" vertical="top"/>
    </xf>
    <xf numFmtId="0" fontId="17" fillId="17" borderId="7" xfId="0" applyFont="1" applyFill="1" applyBorder="1" applyAlignment="1">
      <alignment horizontal="justify" vertical="center" wrapText="1"/>
    </xf>
    <xf numFmtId="0" fontId="17" fillId="17" borderId="9" xfId="0" applyFont="1" applyFill="1" applyBorder="1" applyAlignment="1">
      <alignment horizontal="justify" vertical="center" wrapText="1"/>
    </xf>
    <xf numFmtId="0" fontId="17" fillId="0" borderId="25" xfId="0" applyFont="1" applyFill="1" applyBorder="1" applyAlignment="1">
      <alignment horizontal="center" vertical="top" wrapText="1"/>
    </xf>
    <xf numFmtId="0" fontId="17" fillId="0" borderId="26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center" vertical="top" wrapText="1"/>
    </xf>
    <xf numFmtId="0" fontId="17" fillId="0" borderId="28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/>
    </xf>
    <xf numFmtId="0" fontId="17" fillId="0" borderId="9" xfId="0" applyFont="1" applyFill="1" applyBorder="1" applyAlignment="1">
      <alignment horizontal="center" vertical="top"/>
    </xf>
    <xf numFmtId="0" fontId="17" fillId="0" borderId="6" xfId="0" applyFont="1" applyBorder="1" applyAlignment="1">
      <alignment horizontal="justify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9"/>
  <sheetViews>
    <sheetView topLeftCell="B1" zoomScale="70" zoomScaleNormal="70" workbookViewId="0">
      <pane xSplit="1" ySplit="5" topLeftCell="C6" activePane="bottomRight" state="frozen"/>
      <selection activeCell="B1" sqref="B1"/>
      <selection pane="topRight" activeCell="C1" sqref="C1"/>
      <selection pane="bottomLeft" activeCell="B7" sqref="B7"/>
      <selection pane="bottomRight" activeCell="W20" sqref="W20"/>
    </sheetView>
  </sheetViews>
  <sheetFormatPr defaultRowHeight="15"/>
  <cols>
    <col min="1" max="1" width="5.42578125" style="3" customWidth="1"/>
    <col min="2" max="2" width="43.85546875" style="3" customWidth="1"/>
    <col min="3" max="3" width="12.7109375" style="3" customWidth="1"/>
    <col min="4" max="11" width="9.140625" style="3"/>
    <col min="12" max="12" width="11.140625" style="3" customWidth="1"/>
    <col min="13" max="13" width="14.85546875" style="3" customWidth="1"/>
    <col min="14" max="14" width="18.28515625" style="3" customWidth="1"/>
    <col min="15" max="15" width="9.140625" style="3"/>
    <col min="16" max="16" width="18.28515625" style="3" hidden="1" customWidth="1"/>
    <col min="17" max="17" width="0" style="3" hidden="1" customWidth="1"/>
    <col min="18" max="18" width="19.28515625" style="3" hidden="1" customWidth="1"/>
    <col min="19" max="19" width="9.140625" style="3"/>
    <col min="20" max="20" width="13.28515625" style="3" customWidth="1"/>
    <col min="21" max="16384" width="9.140625" style="3"/>
  </cols>
  <sheetData>
    <row r="1" spans="1:23" ht="14.25" customHeight="1">
      <c r="M1" s="13"/>
      <c r="N1" s="12" t="s">
        <v>30</v>
      </c>
    </row>
    <row r="2" spans="1:23" ht="18.75">
      <c r="B2" s="317" t="s">
        <v>29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</row>
    <row r="3" spans="1:23" ht="25.5" customHeight="1">
      <c r="A3" s="1" t="s">
        <v>0</v>
      </c>
      <c r="B3" s="322" t="s">
        <v>2</v>
      </c>
      <c r="C3" s="324" t="s">
        <v>3</v>
      </c>
      <c r="D3" s="325"/>
      <c r="E3" s="325"/>
      <c r="F3" s="325"/>
      <c r="G3" s="325"/>
      <c r="H3" s="325"/>
      <c r="I3" s="325"/>
      <c r="J3" s="325"/>
      <c r="K3" s="325"/>
      <c r="L3" s="326"/>
      <c r="M3" s="322" t="s">
        <v>12</v>
      </c>
      <c r="N3" s="320" t="s">
        <v>11</v>
      </c>
      <c r="P3" s="313" t="s">
        <v>80</v>
      </c>
      <c r="R3" s="315" t="s">
        <v>81</v>
      </c>
    </row>
    <row r="4" spans="1:23" ht="54.75" customHeight="1">
      <c r="A4" s="2" t="s">
        <v>1</v>
      </c>
      <c r="B4" s="323"/>
      <c r="C4" s="8" t="s">
        <v>19</v>
      </c>
      <c r="D4" s="8" t="s">
        <v>20</v>
      </c>
      <c r="E4" s="8" t="s">
        <v>21</v>
      </c>
      <c r="F4" s="4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323"/>
      <c r="N4" s="321"/>
      <c r="P4" s="314"/>
      <c r="R4" s="316"/>
      <c r="S4" s="28" t="s">
        <v>84</v>
      </c>
      <c r="T4" s="28" t="s">
        <v>85</v>
      </c>
      <c r="U4" s="27" t="s">
        <v>86</v>
      </c>
      <c r="W4" s="31" t="s">
        <v>87</v>
      </c>
    </row>
    <row r="5" spans="1:23" ht="21" customHeight="1">
      <c r="A5" s="9"/>
      <c r="B5" s="318" t="s">
        <v>31</v>
      </c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9"/>
      <c r="N5" s="6"/>
      <c r="P5" s="24"/>
      <c r="R5" s="24"/>
    </row>
    <row r="6" spans="1:23" ht="19.5" customHeight="1">
      <c r="A6" s="4">
        <v>1</v>
      </c>
      <c r="B6" s="7" t="s">
        <v>33</v>
      </c>
      <c r="C6" s="5"/>
      <c r="D6" s="5"/>
      <c r="E6" s="5"/>
      <c r="F6" s="34"/>
      <c r="G6" s="5"/>
      <c r="H6" s="5"/>
      <c r="I6" s="5"/>
      <c r="J6" s="5"/>
      <c r="K6" s="5"/>
      <c r="L6" s="5"/>
      <c r="M6" s="5">
        <f>SUM(C6:L6)</f>
        <v>0</v>
      </c>
      <c r="N6" s="16">
        <f>M6/10</f>
        <v>0</v>
      </c>
      <c r="P6" s="24"/>
      <c r="R6" s="24"/>
      <c r="S6" s="29">
        <v>80</v>
      </c>
      <c r="T6" s="29">
        <f>S6*0.25</f>
        <v>20</v>
      </c>
      <c r="U6" s="30"/>
      <c r="W6" s="32"/>
    </row>
    <row r="7" spans="1:23" ht="19.5" customHeight="1">
      <c r="A7" s="4">
        <v>2</v>
      </c>
      <c r="B7" s="7" t="s">
        <v>18</v>
      </c>
      <c r="C7" s="5">
        <v>40</v>
      </c>
      <c r="D7" s="5">
        <v>51.3</v>
      </c>
      <c r="E7" s="5">
        <v>40</v>
      </c>
      <c r="F7" s="34">
        <v>40</v>
      </c>
      <c r="G7" s="5">
        <v>40</v>
      </c>
      <c r="H7" s="5">
        <v>40</v>
      </c>
      <c r="I7" s="5">
        <v>49.5</v>
      </c>
      <c r="J7" s="5"/>
      <c r="K7" s="5">
        <v>51</v>
      </c>
      <c r="L7" s="5">
        <v>40</v>
      </c>
      <c r="M7" s="5">
        <f>SUM(C7:L7)</f>
        <v>391.8</v>
      </c>
      <c r="N7" s="16">
        <f>M7/10</f>
        <v>39.18</v>
      </c>
      <c r="P7" s="24">
        <v>50.09</v>
      </c>
      <c r="R7" s="24">
        <v>2.16</v>
      </c>
      <c r="S7" s="29">
        <v>150</v>
      </c>
      <c r="T7" s="29">
        <f t="shared" ref="T7:T57" si="0">S7*0.25</f>
        <v>37.5</v>
      </c>
      <c r="U7" s="30"/>
      <c r="W7" s="32"/>
    </row>
    <row r="8" spans="1:23" ht="19.5" customHeight="1">
      <c r="A8" s="4"/>
      <c r="B8" s="7" t="s">
        <v>83</v>
      </c>
      <c r="C8" s="5"/>
      <c r="D8" s="5"/>
      <c r="E8" s="5">
        <v>5.9</v>
      </c>
      <c r="F8" s="34"/>
      <c r="G8" s="5"/>
      <c r="H8" s="5"/>
      <c r="I8" s="5"/>
      <c r="J8" s="5"/>
      <c r="K8" s="5"/>
      <c r="L8" s="5"/>
      <c r="M8" s="5">
        <f>SUM(C8:L8)</f>
        <v>5.9</v>
      </c>
      <c r="N8" s="16">
        <f>M8/10</f>
        <v>0.59000000000000008</v>
      </c>
      <c r="P8" s="24">
        <v>130</v>
      </c>
      <c r="R8" s="24">
        <v>7.6999999999999999E-2</v>
      </c>
      <c r="S8" s="29"/>
      <c r="T8" s="29"/>
      <c r="U8" s="30"/>
      <c r="W8" s="32"/>
    </row>
    <row r="9" spans="1:23" ht="19.5" customHeight="1">
      <c r="A9" s="4">
        <v>3</v>
      </c>
      <c r="B9" s="7" t="s">
        <v>34</v>
      </c>
      <c r="C9" s="5"/>
      <c r="D9" s="5">
        <v>1.3</v>
      </c>
      <c r="E9" s="5"/>
      <c r="F9" s="34">
        <v>6</v>
      </c>
      <c r="G9" s="5"/>
      <c r="H9" s="5"/>
      <c r="I9" s="5">
        <v>2.2000000000000002</v>
      </c>
      <c r="J9" s="5"/>
      <c r="K9" s="5">
        <v>6.2</v>
      </c>
      <c r="L9" s="5"/>
      <c r="M9" s="5">
        <f t="shared" ref="M9:M57" si="1">SUM(C9:L9)</f>
        <v>15.7</v>
      </c>
      <c r="N9" s="16">
        <f t="shared" ref="N9:N57" si="2">M9/10</f>
        <v>1.5699999999999998</v>
      </c>
      <c r="P9" s="24">
        <v>52</v>
      </c>
      <c r="R9" s="24">
        <v>0.05</v>
      </c>
      <c r="S9" s="29">
        <v>15</v>
      </c>
      <c r="T9" s="29">
        <f t="shared" si="0"/>
        <v>3.75</v>
      </c>
      <c r="U9" s="30"/>
      <c r="W9" s="32"/>
    </row>
    <row r="10" spans="1:23" ht="19.5" customHeight="1">
      <c r="A10" s="4">
        <v>4</v>
      </c>
      <c r="B10" s="15" t="s">
        <v>64</v>
      </c>
      <c r="C10" s="5"/>
      <c r="D10" s="5"/>
      <c r="E10" s="5"/>
      <c r="F10" s="34"/>
      <c r="G10" s="5"/>
      <c r="H10" s="5"/>
      <c r="I10" s="5"/>
      <c r="J10" s="5"/>
      <c r="K10" s="5"/>
      <c r="L10" s="5"/>
      <c r="M10" s="5">
        <f t="shared" si="1"/>
        <v>0</v>
      </c>
      <c r="N10" s="16"/>
      <c r="P10" s="24"/>
      <c r="R10" s="24"/>
      <c r="S10" s="29">
        <v>45</v>
      </c>
      <c r="T10" s="29">
        <f t="shared" si="0"/>
        <v>11.25</v>
      </c>
      <c r="U10" s="30"/>
      <c r="W10" s="32"/>
    </row>
    <row r="11" spans="1:23" ht="19.5" customHeight="1">
      <c r="A11" s="4"/>
      <c r="B11" s="14" t="s">
        <v>35</v>
      </c>
      <c r="C11" s="5"/>
      <c r="D11" s="5">
        <v>38</v>
      </c>
      <c r="E11" s="5"/>
      <c r="F11" s="34"/>
      <c r="G11" s="5"/>
      <c r="H11" s="5"/>
      <c r="I11" s="5">
        <v>16</v>
      </c>
      <c r="J11" s="5"/>
      <c r="K11" s="5"/>
      <c r="L11" s="5"/>
      <c r="M11" s="5">
        <f t="shared" si="1"/>
        <v>54</v>
      </c>
      <c r="N11" s="16">
        <f t="shared" ref="N11:N17" si="3">M11/10</f>
        <v>5.4</v>
      </c>
      <c r="P11" s="24">
        <v>80</v>
      </c>
      <c r="R11" s="24">
        <v>0.59</v>
      </c>
      <c r="S11" s="29"/>
      <c r="T11" s="29"/>
      <c r="U11" s="30"/>
      <c r="W11" s="32"/>
    </row>
    <row r="12" spans="1:23" ht="19.5" customHeight="1">
      <c r="A12" s="4"/>
      <c r="B12" s="14" t="s">
        <v>36</v>
      </c>
      <c r="C12" s="5"/>
      <c r="D12" s="5"/>
      <c r="E12" s="5"/>
      <c r="F12" s="34"/>
      <c r="G12" s="5"/>
      <c r="H12" s="5">
        <v>50</v>
      </c>
      <c r="I12" s="5"/>
      <c r="J12" s="5"/>
      <c r="K12" s="5"/>
      <c r="L12" s="5"/>
      <c r="M12" s="5">
        <f t="shared" si="1"/>
        <v>50</v>
      </c>
      <c r="N12" s="16">
        <f t="shared" si="3"/>
        <v>5</v>
      </c>
      <c r="P12" s="24">
        <v>95</v>
      </c>
      <c r="R12" s="24">
        <v>0.48</v>
      </c>
      <c r="S12" s="29"/>
      <c r="T12" s="29"/>
      <c r="U12" s="30"/>
      <c r="W12" s="32"/>
    </row>
    <row r="13" spans="1:23" ht="19.5" customHeight="1">
      <c r="A13" s="4"/>
      <c r="B13" s="14" t="s">
        <v>37</v>
      </c>
      <c r="C13" s="5"/>
      <c r="D13" s="5"/>
      <c r="E13" s="5"/>
      <c r="F13" s="34"/>
      <c r="G13" s="5"/>
      <c r="H13" s="5"/>
      <c r="I13" s="5"/>
      <c r="J13" s="5"/>
      <c r="K13" s="5"/>
      <c r="L13" s="5"/>
      <c r="M13" s="5">
        <f t="shared" si="1"/>
        <v>0</v>
      </c>
      <c r="N13" s="16">
        <f t="shared" si="3"/>
        <v>0</v>
      </c>
      <c r="P13" s="24"/>
      <c r="R13" s="24"/>
      <c r="S13" s="29"/>
      <c r="T13" s="29"/>
      <c r="U13" s="30"/>
      <c r="W13" s="32"/>
    </row>
    <row r="14" spans="1:23" ht="19.5" customHeight="1">
      <c r="A14" s="4"/>
      <c r="B14" s="14" t="s">
        <v>38</v>
      </c>
      <c r="C14" s="5"/>
      <c r="D14" s="5"/>
      <c r="E14" s="5"/>
      <c r="F14" s="34"/>
      <c r="G14" s="5"/>
      <c r="H14" s="5"/>
      <c r="I14" s="5"/>
      <c r="J14" s="5"/>
      <c r="K14" s="5"/>
      <c r="L14" s="5"/>
      <c r="M14" s="5">
        <f t="shared" si="1"/>
        <v>0</v>
      </c>
      <c r="N14" s="16">
        <f t="shared" si="3"/>
        <v>0</v>
      </c>
      <c r="P14" s="24"/>
      <c r="R14" s="24"/>
      <c r="S14" s="29"/>
      <c r="T14" s="29"/>
      <c r="U14" s="30"/>
      <c r="W14" s="32"/>
    </row>
    <row r="15" spans="1:23" ht="19.5" customHeight="1">
      <c r="A15" s="4"/>
      <c r="B15" s="14" t="s">
        <v>39</v>
      </c>
      <c r="C15" s="5"/>
      <c r="D15" s="5"/>
      <c r="E15" s="5"/>
      <c r="F15" s="34"/>
      <c r="G15" s="5"/>
      <c r="H15" s="5"/>
      <c r="I15" s="5">
        <v>18</v>
      </c>
      <c r="J15" s="5"/>
      <c r="K15" s="5"/>
      <c r="L15" s="5"/>
      <c r="M15" s="5">
        <f t="shared" si="1"/>
        <v>18</v>
      </c>
      <c r="N15" s="16">
        <f t="shared" si="3"/>
        <v>1.8</v>
      </c>
      <c r="P15" s="24">
        <v>35</v>
      </c>
      <c r="R15" s="24">
        <v>6.3E-2</v>
      </c>
      <c r="S15" s="29"/>
      <c r="T15" s="29"/>
      <c r="U15" s="30"/>
      <c r="W15" s="32"/>
    </row>
    <row r="16" spans="1:23" ht="19.5" customHeight="1">
      <c r="A16" s="4"/>
      <c r="B16" s="14" t="s">
        <v>40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1"/>
        <v>0</v>
      </c>
      <c r="N16" s="16">
        <f t="shared" si="3"/>
        <v>0</v>
      </c>
      <c r="P16" s="24"/>
      <c r="R16" s="24"/>
      <c r="S16" s="29"/>
      <c r="T16" s="29"/>
      <c r="U16" s="30"/>
      <c r="W16" s="32"/>
    </row>
    <row r="17" spans="1:24" ht="19.5" customHeight="1">
      <c r="A17" s="4"/>
      <c r="B17" s="14" t="s">
        <v>41</v>
      </c>
      <c r="C17" s="5">
        <v>40</v>
      </c>
      <c r="D17" s="5"/>
      <c r="E17" s="5"/>
      <c r="F17" s="34"/>
      <c r="G17" s="5"/>
      <c r="H17" s="5"/>
      <c r="I17" s="5"/>
      <c r="J17" s="5"/>
      <c r="K17" s="5"/>
      <c r="L17" s="5"/>
      <c r="M17" s="5">
        <f t="shared" si="1"/>
        <v>40</v>
      </c>
      <c r="N17" s="16">
        <f t="shared" si="3"/>
        <v>4</v>
      </c>
      <c r="P17" s="24">
        <v>40</v>
      </c>
      <c r="R17" s="24">
        <v>0.16</v>
      </c>
      <c r="S17" s="29"/>
      <c r="T17" s="29"/>
      <c r="U17" s="30"/>
      <c r="W17" s="32"/>
    </row>
    <row r="18" spans="1:24" ht="19.5" customHeight="1">
      <c r="A18" s="4">
        <v>5</v>
      </c>
      <c r="B18" s="7" t="s">
        <v>13</v>
      </c>
      <c r="C18" s="5"/>
      <c r="D18" s="5"/>
      <c r="E18" s="5"/>
      <c r="F18" s="34">
        <v>52</v>
      </c>
      <c r="G18" s="5"/>
      <c r="H18" s="5"/>
      <c r="I18" s="5"/>
      <c r="J18" s="5"/>
      <c r="K18" s="5">
        <v>52</v>
      </c>
      <c r="L18" s="5"/>
      <c r="M18" s="5">
        <f t="shared" si="1"/>
        <v>104</v>
      </c>
      <c r="N18" s="16">
        <f t="shared" si="2"/>
        <v>10.4</v>
      </c>
      <c r="P18" s="24">
        <v>65</v>
      </c>
      <c r="R18" s="24">
        <v>0.68</v>
      </c>
      <c r="S18" s="29">
        <v>15</v>
      </c>
      <c r="T18" s="29">
        <f t="shared" si="0"/>
        <v>3.75</v>
      </c>
      <c r="U18" s="30"/>
      <c r="W18" s="32"/>
    </row>
    <row r="19" spans="1:24" ht="19.5" customHeight="1">
      <c r="A19" s="4">
        <v>6</v>
      </c>
      <c r="B19" s="7" t="s">
        <v>6</v>
      </c>
      <c r="C19" s="5"/>
      <c r="D19" s="5"/>
      <c r="E19" s="5"/>
      <c r="F19" s="34"/>
      <c r="G19" s="5"/>
      <c r="H19" s="5"/>
      <c r="I19" s="5"/>
      <c r="J19" s="5"/>
      <c r="K19" s="5"/>
      <c r="L19" s="5"/>
      <c r="M19" s="5">
        <f t="shared" si="1"/>
        <v>0</v>
      </c>
      <c r="N19" s="16">
        <f t="shared" si="2"/>
        <v>0</v>
      </c>
      <c r="P19" s="24"/>
      <c r="R19" s="24"/>
      <c r="S19" s="29">
        <v>187</v>
      </c>
      <c r="T19" s="29">
        <f t="shared" si="0"/>
        <v>46.75</v>
      </c>
      <c r="U19" s="30"/>
      <c r="W19" s="32"/>
    </row>
    <row r="20" spans="1:24" ht="47.25">
      <c r="A20" s="4">
        <v>7</v>
      </c>
      <c r="B20" s="47" t="s">
        <v>42</v>
      </c>
      <c r="C20" s="42">
        <f>C21+C22+C23+C24+C25+C26+C27</f>
        <v>0</v>
      </c>
      <c r="D20" s="42">
        <v>48.5</v>
      </c>
      <c r="E20" s="42">
        <f t="shared" ref="E20:M20" si="4">E21+E22+E23+E24+E25+E26+E27</f>
        <v>56.3</v>
      </c>
      <c r="F20" s="36">
        <f t="shared" si="4"/>
        <v>18</v>
      </c>
      <c r="G20" s="42">
        <f t="shared" si="4"/>
        <v>42</v>
      </c>
      <c r="H20" s="42">
        <f t="shared" si="4"/>
        <v>0</v>
      </c>
      <c r="I20" s="42">
        <f t="shared" si="4"/>
        <v>43</v>
      </c>
      <c r="J20" s="42">
        <f t="shared" si="4"/>
        <v>0</v>
      </c>
      <c r="K20" s="42">
        <f t="shared" si="4"/>
        <v>75</v>
      </c>
      <c r="L20" s="42">
        <f t="shared" si="4"/>
        <v>42</v>
      </c>
      <c r="M20" s="42">
        <f t="shared" si="4"/>
        <v>321</v>
      </c>
      <c r="N20" s="43">
        <f>M20/10</f>
        <v>32.1</v>
      </c>
      <c r="P20" s="24"/>
      <c r="R20" s="24"/>
      <c r="S20" s="29">
        <v>280</v>
      </c>
      <c r="T20" s="29">
        <f>S20*0.2</f>
        <v>56</v>
      </c>
      <c r="U20" s="30"/>
      <c r="W20" s="33">
        <v>75</v>
      </c>
      <c r="X20" s="49">
        <f>W20-N20</f>
        <v>42.9</v>
      </c>
    </row>
    <row r="21" spans="1:24" ht="15.75">
      <c r="A21" s="4"/>
      <c r="B21" s="14" t="s">
        <v>43</v>
      </c>
      <c r="C21" s="5"/>
      <c r="D21" s="5"/>
      <c r="E21" s="5"/>
      <c r="F21" s="34"/>
      <c r="G21" s="5"/>
      <c r="H21" s="5"/>
      <c r="I21" s="5"/>
      <c r="J21" s="5"/>
      <c r="K21" s="5"/>
      <c r="L21" s="5"/>
      <c r="M21" s="5">
        <f t="shared" ref="M21:M29" si="5">SUM(C21:L21)</f>
        <v>0</v>
      </c>
      <c r="N21" s="16">
        <f t="shared" si="2"/>
        <v>0</v>
      </c>
      <c r="P21" s="24"/>
      <c r="R21" s="24"/>
      <c r="S21" s="29"/>
      <c r="T21" s="29"/>
      <c r="U21" s="30"/>
      <c r="W21" s="32"/>
    </row>
    <row r="22" spans="1:24" ht="15.75">
      <c r="A22" s="4"/>
      <c r="B22" s="14" t="s">
        <v>44</v>
      </c>
      <c r="C22" s="5"/>
      <c r="D22" s="5">
        <v>0.6</v>
      </c>
      <c r="E22" s="5"/>
      <c r="F22" s="34">
        <v>18</v>
      </c>
      <c r="G22" s="5"/>
      <c r="H22" s="5"/>
      <c r="I22" s="5"/>
      <c r="J22" s="5"/>
      <c r="K22" s="5">
        <v>31.5</v>
      </c>
      <c r="L22" s="5"/>
      <c r="M22" s="5">
        <f t="shared" si="5"/>
        <v>50.1</v>
      </c>
      <c r="N22" s="16">
        <f t="shared" si="2"/>
        <v>5.01</v>
      </c>
      <c r="P22" s="24">
        <v>21</v>
      </c>
      <c r="R22" s="24">
        <v>7.6999999999999999E-2</v>
      </c>
      <c r="S22" s="29"/>
      <c r="T22" s="29"/>
      <c r="U22" s="30"/>
      <c r="W22" s="32"/>
    </row>
    <row r="23" spans="1:24" ht="15.75">
      <c r="A23" s="4"/>
      <c r="B23" s="14" t="s">
        <v>45</v>
      </c>
      <c r="C23" s="5"/>
      <c r="D23" s="5">
        <v>2.1</v>
      </c>
      <c r="E23" s="5">
        <v>56.3</v>
      </c>
      <c r="F23" s="34"/>
      <c r="G23" s="5"/>
      <c r="H23" s="5"/>
      <c r="I23" s="5">
        <v>43</v>
      </c>
      <c r="J23" s="5"/>
      <c r="K23" s="5">
        <v>1.5</v>
      </c>
      <c r="L23" s="5"/>
      <c r="M23" s="5">
        <f t="shared" si="5"/>
        <v>102.9</v>
      </c>
      <c r="N23" s="16">
        <f t="shared" si="2"/>
        <v>10.290000000000001</v>
      </c>
      <c r="P23" s="24">
        <v>30</v>
      </c>
      <c r="R23" s="24">
        <v>0.34</v>
      </c>
      <c r="S23" s="29"/>
      <c r="T23" s="29"/>
      <c r="U23" s="30"/>
      <c r="W23" s="32"/>
    </row>
    <row r="24" spans="1:24" ht="15.75">
      <c r="A24" s="4"/>
      <c r="B24" s="14" t="s">
        <v>46</v>
      </c>
      <c r="C24" s="5"/>
      <c r="D24" s="5"/>
      <c r="E24" s="5"/>
      <c r="F24" s="34"/>
      <c r="G24" s="5"/>
      <c r="H24" s="5"/>
      <c r="I24" s="5"/>
      <c r="J24" s="5"/>
      <c r="K24" s="5"/>
      <c r="L24" s="5"/>
      <c r="M24" s="5">
        <f t="shared" si="5"/>
        <v>0</v>
      </c>
      <c r="N24" s="16">
        <f t="shared" si="2"/>
        <v>0</v>
      </c>
      <c r="P24" s="24"/>
      <c r="R24" s="24"/>
      <c r="S24" s="29"/>
      <c r="T24" s="29"/>
      <c r="U24" s="30"/>
      <c r="W24" s="32"/>
    </row>
    <row r="25" spans="1:24" ht="15.75">
      <c r="A25" s="4"/>
      <c r="B25" s="14" t="s">
        <v>47</v>
      </c>
      <c r="C25" s="5"/>
      <c r="D25" s="5"/>
      <c r="E25" s="5"/>
      <c r="F25" s="34"/>
      <c r="G25" s="5"/>
      <c r="H25" s="5"/>
      <c r="I25" s="5"/>
      <c r="J25" s="5"/>
      <c r="K25" s="5"/>
      <c r="L25" s="5"/>
      <c r="M25" s="5">
        <f t="shared" si="5"/>
        <v>0</v>
      </c>
      <c r="N25" s="16">
        <f t="shared" si="2"/>
        <v>0</v>
      </c>
      <c r="P25" s="24"/>
      <c r="R25" s="24"/>
      <c r="S25" s="29"/>
      <c r="T25" s="29"/>
      <c r="U25" s="30"/>
      <c r="W25" s="32"/>
    </row>
    <row r="26" spans="1:24" ht="15.75">
      <c r="A26" s="4"/>
      <c r="B26" s="14" t="s">
        <v>48</v>
      </c>
      <c r="C26" s="5"/>
      <c r="D26" s="5">
        <v>42</v>
      </c>
      <c r="E26" s="5"/>
      <c r="F26" s="34"/>
      <c r="G26" s="50">
        <v>42</v>
      </c>
      <c r="H26" s="5"/>
      <c r="I26" s="5"/>
      <c r="J26" s="5"/>
      <c r="K26" s="5">
        <v>42</v>
      </c>
      <c r="L26" s="50">
        <v>42</v>
      </c>
      <c r="M26" s="5">
        <f t="shared" si="5"/>
        <v>168</v>
      </c>
      <c r="N26" s="16">
        <f t="shared" si="2"/>
        <v>16.8</v>
      </c>
      <c r="P26" s="24">
        <v>140</v>
      </c>
      <c r="R26" s="24">
        <v>1.18</v>
      </c>
      <c r="S26" s="29"/>
      <c r="T26" s="29"/>
      <c r="U26" s="30"/>
      <c r="W26" s="32"/>
    </row>
    <row r="27" spans="1:24" ht="15.75">
      <c r="A27" s="4"/>
      <c r="B27" s="14" t="s">
        <v>49</v>
      </c>
      <c r="C27" s="5"/>
      <c r="D27" s="5"/>
      <c r="E27" s="5"/>
      <c r="F27" s="34"/>
      <c r="G27" s="5"/>
      <c r="H27" s="5"/>
      <c r="I27" s="5"/>
      <c r="J27" s="5"/>
      <c r="K27" s="5"/>
      <c r="L27" s="5"/>
      <c r="M27" s="5">
        <f t="shared" si="5"/>
        <v>0</v>
      </c>
      <c r="N27" s="16">
        <f t="shared" si="2"/>
        <v>0</v>
      </c>
      <c r="P27" s="24"/>
      <c r="R27" s="24"/>
      <c r="S27" s="29"/>
      <c r="T27" s="29"/>
      <c r="U27" s="30"/>
      <c r="W27" s="32"/>
    </row>
    <row r="28" spans="1:24" ht="19.5" customHeight="1">
      <c r="A28" s="4">
        <v>8</v>
      </c>
      <c r="B28" s="15" t="s">
        <v>10</v>
      </c>
      <c r="C28" s="5">
        <f>C29+C30+C31+C32+C33+C34</f>
        <v>100</v>
      </c>
      <c r="D28" s="5">
        <f t="shared" ref="D28:L28" si="6">D29+D30+D31+D32+D33+D34</f>
        <v>0</v>
      </c>
      <c r="E28" s="5">
        <f t="shared" si="6"/>
        <v>21.5</v>
      </c>
      <c r="F28" s="34">
        <f t="shared" si="6"/>
        <v>105</v>
      </c>
      <c r="G28" s="5">
        <f t="shared" si="6"/>
        <v>100</v>
      </c>
      <c r="H28" s="5">
        <f t="shared" si="6"/>
        <v>100</v>
      </c>
      <c r="I28" s="5">
        <f t="shared" si="6"/>
        <v>0</v>
      </c>
      <c r="J28" s="5"/>
      <c r="K28" s="5">
        <f t="shared" si="6"/>
        <v>0</v>
      </c>
      <c r="L28" s="5">
        <f t="shared" si="6"/>
        <v>0</v>
      </c>
      <c r="M28" s="5">
        <f t="shared" si="5"/>
        <v>426.5</v>
      </c>
      <c r="N28" s="16">
        <f t="shared" si="2"/>
        <v>42.65</v>
      </c>
      <c r="P28" s="24"/>
      <c r="R28" s="24"/>
      <c r="S28" s="29">
        <v>185</v>
      </c>
      <c r="T28" s="29">
        <f t="shared" si="0"/>
        <v>46.25</v>
      </c>
      <c r="U28" s="30"/>
      <c r="W28" s="32"/>
    </row>
    <row r="29" spans="1:24" ht="19.5" customHeight="1">
      <c r="A29" s="4"/>
      <c r="B29" s="14" t="s">
        <v>50</v>
      </c>
      <c r="C29" s="5">
        <v>100</v>
      </c>
      <c r="D29" s="5"/>
      <c r="E29" s="5">
        <v>21.5</v>
      </c>
      <c r="F29" s="34"/>
      <c r="G29" s="5">
        <v>100</v>
      </c>
      <c r="H29" s="5"/>
      <c r="I29" s="5"/>
      <c r="J29" s="5"/>
      <c r="K29" s="5"/>
      <c r="L29" s="5"/>
      <c r="M29" s="5">
        <f t="shared" si="5"/>
        <v>221.5</v>
      </c>
      <c r="N29" s="16">
        <f t="shared" si="2"/>
        <v>22.15</v>
      </c>
      <c r="P29" s="24">
        <v>65</v>
      </c>
      <c r="R29" s="24">
        <v>1.44</v>
      </c>
      <c r="S29" s="29"/>
      <c r="T29" s="29"/>
      <c r="U29" s="30"/>
      <c r="W29" s="32"/>
    </row>
    <row r="30" spans="1:24" ht="19.5" customHeight="1">
      <c r="A30" s="4"/>
      <c r="B30" s="14" t="s">
        <v>51</v>
      </c>
      <c r="C30" s="5"/>
      <c r="D30" s="5"/>
      <c r="E30" s="5"/>
      <c r="F30" s="34">
        <v>100</v>
      </c>
      <c r="G30" s="5"/>
      <c r="H30" s="5"/>
      <c r="I30" s="5"/>
      <c r="J30" s="5"/>
      <c r="K30" s="5"/>
      <c r="L30" s="5"/>
      <c r="M30" s="5">
        <f t="shared" ref="M30:M34" si="7">SUM(C30:L30)</f>
        <v>100</v>
      </c>
      <c r="N30" s="16">
        <f t="shared" si="2"/>
        <v>10</v>
      </c>
      <c r="P30" s="24">
        <v>200</v>
      </c>
      <c r="R30" s="24">
        <v>4</v>
      </c>
      <c r="S30" s="29"/>
      <c r="T30" s="29"/>
      <c r="U30" s="30"/>
      <c r="W30" s="32"/>
    </row>
    <row r="31" spans="1:24" ht="19.5" customHeight="1">
      <c r="A31" s="4"/>
      <c r="B31" s="14" t="s">
        <v>52</v>
      </c>
      <c r="C31" s="5"/>
      <c r="D31" s="5"/>
      <c r="E31" s="5"/>
      <c r="F31" s="34"/>
      <c r="G31" s="5"/>
      <c r="H31" s="5"/>
      <c r="I31" s="5"/>
      <c r="J31" s="5"/>
      <c r="K31" s="5"/>
      <c r="L31" s="5"/>
      <c r="M31" s="5">
        <f t="shared" si="7"/>
        <v>0</v>
      </c>
      <c r="N31" s="16">
        <f t="shared" si="2"/>
        <v>0</v>
      </c>
      <c r="P31" s="24">
        <v>135</v>
      </c>
      <c r="R31" s="24">
        <v>1.35</v>
      </c>
      <c r="S31" s="29"/>
      <c r="T31" s="29"/>
      <c r="U31" s="30"/>
      <c r="W31" s="32"/>
    </row>
    <row r="32" spans="1:24" ht="19.5" customHeight="1">
      <c r="A32" s="4"/>
      <c r="B32" s="14" t="s">
        <v>53</v>
      </c>
      <c r="C32" s="5"/>
      <c r="D32" s="5"/>
      <c r="E32" s="5"/>
      <c r="F32" s="34"/>
      <c r="G32" s="5"/>
      <c r="H32" s="5">
        <v>100</v>
      </c>
      <c r="I32" s="5"/>
      <c r="J32" s="5"/>
      <c r="K32" s="5"/>
      <c r="L32" s="5"/>
      <c r="M32" s="5">
        <f t="shared" si="7"/>
        <v>100</v>
      </c>
      <c r="N32" s="16">
        <f t="shared" si="2"/>
        <v>10</v>
      </c>
      <c r="P32" s="24">
        <v>180</v>
      </c>
      <c r="R32" s="24">
        <v>1.8</v>
      </c>
      <c r="S32" s="29"/>
      <c r="T32" s="29"/>
      <c r="U32" s="30"/>
      <c r="W32" s="32"/>
    </row>
    <row r="33" spans="1:24" ht="19.5" customHeight="1">
      <c r="A33" s="4"/>
      <c r="B33" s="14" t="s">
        <v>54</v>
      </c>
      <c r="C33" s="5"/>
      <c r="D33" s="5"/>
      <c r="E33" s="5"/>
      <c r="F33" s="34"/>
      <c r="G33" s="5"/>
      <c r="H33" s="5"/>
      <c r="I33" s="5"/>
      <c r="J33" s="5"/>
      <c r="K33" s="5"/>
      <c r="L33" s="5"/>
      <c r="M33" s="5">
        <f t="shared" si="7"/>
        <v>0</v>
      </c>
      <c r="N33" s="16">
        <f t="shared" si="2"/>
        <v>0</v>
      </c>
      <c r="P33" s="24"/>
      <c r="R33" s="24"/>
      <c r="S33" s="29"/>
      <c r="T33" s="29"/>
      <c r="U33" s="30"/>
      <c r="W33" s="32"/>
    </row>
    <row r="34" spans="1:24" ht="19.5" customHeight="1">
      <c r="A34" s="4"/>
      <c r="B34" s="14" t="s">
        <v>55</v>
      </c>
      <c r="C34" s="5"/>
      <c r="D34" s="5"/>
      <c r="E34" s="5"/>
      <c r="F34" s="34">
        <v>5</v>
      </c>
      <c r="G34" s="5"/>
      <c r="H34" s="5"/>
      <c r="I34" s="5"/>
      <c r="J34" s="5"/>
      <c r="K34" s="5"/>
      <c r="L34" s="5"/>
      <c r="M34" s="5">
        <f t="shared" si="7"/>
        <v>5</v>
      </c>
      <c r="N34" s="16">
        <f t="shared" si="2"/>
        <v>0.5</v>
      </c>
      <c r="P34" s="24">
        <v>150</v>
      </c>
      <c r="R34" s="24">
        <v>7.4999999999999997E-2</v>
      </c>
      <c r="S34" s="29"/>
      <c r="T34" s="29"/>
      <c r="U34" s="30"/>
      <c r="W34" s="32"/>
    </row>
    <row r="35" spans="1:24" ht="19.5" customHeight="1">
      <c r="A35" s="4">
        <v>9</v>
      </c>
      <c r="B35" s="7" t="s">
        <v>9</v>
      </c>
      <c r="C35" s="5"/>
      <c r="D35" s="5"/>
      <c r="E35" s="5"/>
      <c r="F35" s="34"/>
      <c r="G35" s="5"/>
      <c r="H35" s="5"/>
      <c r="I35" s="5"/>
      <c r="J35" s="5"/>
      <c r="K35" s="5"/>
      <c r="L35" s="5"/>
      <c r="M35" s="5">
        <f t="shared" si="1"/>
        <v>0</v>
      </c>
      <c r="N35" s="16">
        <f t="shared" si="2"/>
        <v>0</v>
      </c>
      <c r="P35" s="24"/>
      <c r="R35" s="24"/>
      <c r="S35" s="29">
        <v>15</v>
      </c>
      <c r="T35" s="29">
        <f t="shared" si="0"/>
        <v>3.75</v>
      </c>
      <c r="U35" s="30"/>
      <c r="W35" s="32"/>
    </row>
    <row r="36" spans="1:24" ht="31.5">
      <c r="A36" s="4">
        <v>10</v>
      </c>
      <c r="B36" s="7" t="s">
        <v>56</v>
      </c>
      <c r="C36" s="5"/>
      <c r="D36" s="5"/>
      <c r="E36" s="5"/>
      <c r="F36" s="34"/>
      <c r="G36" s="5"/>
      <c r="H36" s="5"/>
      <c r="I36" s="5"/>
      <c r="J36" s="5"/>
      <c r="K36" s="5"/>
      <c r="L36" s="5"/>
      <c r="M36" s="5">
        <f t="shared" ref="M36" si="8">SUM(C36:L36)</f>
        <v>0</v>
      </c>
      <c r="N36" s="16">
        <f t="shared" ref="N36" si="9">M36/10</f>
        <v>0</v>
      </c>
      <c r="P36" s="24"/>
      <c r="R36" s="24"/>
      <c r="S36" s="29">
        <v>200</v>
      </c>
      <c r="T36" s="29">
        <f t="shared" si="0"/>
        <v>50</v>
      </c>
      <c r="U36" s="30"/>
      <c r="W36" s="32"/>
    </row>
    <row r="37" spans="1:24" ht="19.5" customHeight="1">
      <c r="A37" s="4">
        <v>11</v>
      </c>
      <c r="B37" s="41" t="s">
        <v>70</v>
      </c>
      <c r="C37" s="42"/>
      <c r="D37" s="42">
        <v>63.4</v>
      </c>
      <c r="E37" s="42"/>
      <c r="F37" s="36"/>
      <c r="G37" s="42"/>
      <c r="H37" s="42"/>
      <c r="I37" s="42">
        <v>65.7</v>
      </c>
      <c r="J37" s="42"/>
      <c r="K37" s="42">
        <v>69.400000000000006</v>
      </c>
      <c r="L37" s="42"/>
      <c r="M37" s="42">
        <f t="shared" si="1"/>
        <v>198.5</v>
      </c>
      <c r="N37" s="43">
        <f t="shared" si="2"/>
        <v>19.850000000000001</v>
      </c>
      <c r="O37" s="44"/>
      <c r="P37" s="45">
        <v>500</v>
      </c>
      <c r="Q37" s="44"/>
      <c r="R37" s="45">
        <v>13.75</v>
      </c>
      <c r="S37" s="46">
        <v>70</v>
      </c>
      <c r="T37" s="46">
        <f t="shared" si="0"/>
        <v>17.5</v>
      </c>
      <c r="U37" s="30"/>
      <c r="W37" s="32"/>
    </row>
    <row r="38" spans="1:24" ht="19.5" customHeight="1">
      <c r="A38" s="4">
        <v>12</v>
      </c>
      <c r="B38" s="7" t="s">
        <v>57</v>
      </c>
      <c r="C38" s="5"/>
      <c r="D38" s="5"/>
      <c r="E38" s="5"/>
      <c r="F38" s="34"/>
      <c r="G38" s="5"/>
      <c r="H38" s="5"/>
      <c r="I38" s="5"/>
      <c r="J38" s="5"/>
      <c r="K38" s="5"/>
      <c r="L38" s="5"/>
      <c r="M38" s="5">
        <f t="shared" ref="M38" si="10">SUM(C38:L38)</f>
        <v>0</v>
      </c>
      <c r="N38" s="16">
        <f t="shared" ref="N38" si="11">M38/10</f>
        <v>0</v>
      </c>
      <c r="P38" s="24"/>
      <c r="R38" s="24"/>
      <c r="S38" s="29">
        <v>30</v>
      </c>
      <c r="T38" s="29">
        <f t="shared" si="0"/>
        <v>7.5</v>
      </c>
      <c r="U38" s="30"/>
      <c r="W38" s="32"/>
    </row>
    <row r="39" spans="1:24" ht="31.5">
      <c r="A39" s="4">
        <v>13</v>
      </c>
      <c r="B39" s="35" t="s">
        <v>58</v>
      </c>
      <c r="C39" s="36"/>
      <c r="D39" s="36"/>
      <c r="E39" s="36"/>
      <c r="F39" s="36">
        <v>142</v>
      </c>
      <c r="G39" s="36"/>
      <c r="H39" s="36"/>
      <c r="I39" s="36"/>
      <c r="J39" s="36"/>
      <c r="K39" s="36"/>
      <c r="L39" s="36"/>
      <c r="M39" s="36">
        <f t="shared" si="1"/>
        <v>142</v>
      </c>
      <c r="N39" s="37">
        <f t="shared" si="2"/>
        <v>14.2</v>
      </c>
      <c r="O39" s="38"/>
      <c r="P39" s="39"/>
      <c r="Q39" s="38"/>
      <c r="R39" s="39"/>
      <c r="S39" s="40">
        <v>35</v>
      </c>
      <c r="T39" s="40">
        <f t="shared" si="0"/>
        <v>8.75</v>
      </c>
      <c r="U39" s="30"/>
      <c r="W39" s="33">
        <v>11</v>
      </c>
      <c r="X39" s="49">
        <f>W39-N39</f>
        <v>-3.1999999999999993</v>
      </c>
    </row>
    <row r="40" spans="1:24" ht="31.5">
      <c r="A40" s="4">
        <v>14</v>
      </c>
      <c r="B40" s="7" t="s">
        <v>59</v>
      </c>
      <c r="C40" s="5"/>
      <c r="D40" s="5"/>
      <c r="E40" s="5"/>
      <c r="F40" s="34"/>
      <c r="G40" s="5"/>
      <c r="H40" s="5"/>
      <c r="I40" s="5"/>
      <c r="J40" s="5"/>
      <c r="K40" s="5"/>
      <c r="L40" s="5"/>
      <c r="M40" s="5">
        <f t="shared" si="1"/>
        <v>0</v>
      </c>
      <c r="N40" s="16">
        <f t="shared" si="2"/>
        <v>0</v>
      </c>
      <c r="P40" s="24"/>
      <c r="R40" s="24"/>
      <c r="S40" s="29">
        <v>58</v>
      </c>
      <c r="T40" s="29">
        <f t="shared" si="0"/>
        <v>14.5</v>
      </c>
      <c r="U40" s="30"/>
      <c r="W40" s="33">
        <v>16.875</v>
      </c>
      <c r="X40" s="49">
        <f>W40-N40</f>
        <v>16.875</v>
      </c>
    </row>
    <row r="41" spans="1:24" ht="19.5" customHeight="1">
      <c r="A41" s="4">
        <v>15</v>
      </c>
      <c r="B41" s="7" t="s">
        <v>65</v>
      </c>
      <c r="C41" s="5">
        <v>240</v>
      </c>
      <c r="D41" s="5">
        <v>115.1</v>
      </c>
      <c r="E41" s="5"/>
      <c r="F41" s="34"/>
      <c r="G41" s="5">
        <v>51.7</v>
      </c>
      <c r="H41" s="5">
        <v>300</v>
      </c>
      <c r="I41" s="5">
        <v>27</v>
      </c>
      <c r="J41" s="5"/>
      <c r="K41" s="5">
        <v>116</v>
      </c>
      <c r="L41" s="5">
        <v>51.7</v>
      </c>
      <c r="M41" s="5">
        <f t="shared" si="1"/>
        <v>901.5</v>
      </c>
      <c r="N41" s="16">
        <f t="shared" si="2"/>
        <v>90.15</v>
      </c>
      <c r="P41" s="24">
        <v>57.5</v>
      </c>
      <c r="R41" s="24">
        <v>5.52</v>
      </c>
      <c r="S41" s="29">
        <v>300</v>
      </c>
      <c r="T41" s="29">
        <f t="shared" si="0"/>
        <v>75</v>
      </c>
      <c r="U41" s="30"/>
      <c r="W41" s="32"/>
    </row>
    <row r="42" spans="1:24" ht="19.5" customHeight="1">
      <c r="A42" s="4">
        <v>16</v>
      </c>
      <c r="B42" s="7" t="s">
        <v>66</v>
      </c>
      <c r="C42" s="5"/>
      <c r="D42" s="5"/>
      <c r="E42" s="5"/>
      <c r="F42" s="34"/>
      <c r="G42" s="5"/>
      <c r="H42" s="5"/>
      <c r="I42" s="5"/>
      <c r="J42" s="5"/>
      <c r="K42" s="5"/>
      <c r="L42" s="5"/>
      <c r="M42" s="5">
        <f t="shared" ref="M42" si="12">SUM(C42:L42)</f>
        <v>0</v>
      </c>
      <c r="N42" s="16">
        <f t="shared" ref="N42" si="13">M42/10</f>
        <v>0</v>
      </c>
      <c r="P42" s="24"/>
      <c r="R42" s="24"/>
      <c r="S42" s="29">
        <v>150</v>
      </c>
      <c r="T42" s="29">
        <f t="shared" si="0"/>
        <v>37.5</v>
      </c>
      <c r="U42" s="30"/>
      <c r="W42" s="32"/>
    </row>
    <row r="43" spans="1:24" ht="19.5" customHeight="1">
      <c r="A43" s="4">
        <v>17</v>
      </c>
      <c r="B43" s="7" t="s">
        <v>67</v>
      </c>
      <c r="C43" s="5"/>
      <c r="D43" s="5"/>
      <c r="E43" s="5">
        <v>158.1</v>
      </c>
      <c r="F43" s="34"/>
      <c r="G43" s="5"/>
      <c r="H43" s="5"/>
      <c r="I43" s="5"/>
      <c r="J43" s="5"/>
      <c r="K43" s="5"/>
      <c r="L43" s="5"/>
      <c r="M43" s="5">
        <f t="shared" si="1"/>
        <v>158.1</v>
      </c>
      <c r="N43" s="16">
        <f t="shared" si="2"/>
        <v>15.809999999999999</v>
      </c>
      <c r="P43" s="24">
        <v>260</v>
      </c>
      <c r="R43" s="24">
        <v>7.6</v>
      </c>
      <c r="S43" s="29">
        <v>50</v>
      </c>
      <c r="T43" s="29">
        <f t="shared" si="0"/>
        <v>12.5</v>
      </c>
      <c r="U43" s="30"/>
      <c r="W43" s="32"/>
    </row>
    <row r="44" spans="1:24" ht="19.5" customHeight="1">
      <c r="A44" s="4">
        <v>18</v>
      </c>
      <c r="B44" s="7" t="s">
        <v>15</v>
      </c>
      <c r="C44" s="5">
        <v>21</v>
      </c>
      <c r="D44" s="5"/>
      <c r="E44" s="5"/>
      <c r="F44" s="34"/>
      <c r="G44" s="5"/>
      <c r="H44" s="5">
        <v>21</v>
      </c>
      <c r="I44" s="5"/>
      <c r="J44" s="5"/>
      <c r="K44" s="5"/>
      <c r="L44" s="5">
        <v>21</v>
      </c>
      <c r="M44" s="5">
        <f>SUM(C44:L44)</f>
        <v>63</v>
      </c>
      <c r="N44" s="16">
        <f>M44/10</f>
        <v>6.3</v>
      </c>
      <c r="P44" s="24">
        <v>590</v>
      </c>
      <c r="R44" s="24">
        <v>3.72</v>
      </c>
      <c r="S44" s="29">
        <v>10</v>
      </c>
      <c r="T44" s="29">
        <f t="shared" si="0"/>
        <v>2.5</v>
      </c>
      <c r="U44" s="30"/>
      <c r="W44" s="32"/>
    </row>
    <row r="45" spans="1:24" ht="19.5" customHeight="1">
      <c r="A45" s="4">
        <v>19</v>
      </c>
      <c r="B45" s="7" t="s">
        <v>4</v>
      </c>
      <c r="C45" s="5"/>
      <c r="D45" s="5"/>
      <c r="E45" s="5">
        <v>5.9</v>
      </c>
      <c r="F45" s="34"/>
      <c r="G45" s="5"/>
      <c r="H45" s="5"/>
      <c r="I45" s="5"/>
      <c r="J45" s="5"/>
      <c r="K45" s="5"/>
      <c r="L45" s="5"/>
      <c r="M45" s="5">
        <f t="shared" si="1"/>
        <v>5.9</v>
      </c>
      <c r="N45" s="16">
        <f t="shared" si="2"/>
        <v>0.59000000000000008</v>
      </c>
      <c r="P45" s="24">
        <v>174</v>
      </c>
      <c r="R45" s="24">
        <v>0.14000000000000001</v>
      </c>
      <c r="S45" s="29">
        <v>10</v>
      </c>
      <c r="T45" s="29">
        <f t="shared" si="0"/>
        <v>2.5</v>
      </c>
      <c r="U45" s="30"/>
      <c r="W45" s="32"/>
    </row>
    <row r="46" spans="1:24" ht="19.5" customHeight="1">
      <c r="A46" s="4">
        <v>20</v>
      </c>
      <c r="B46" s="7" t="s">
        <v>14</v>
      </c>
      <c r="C46" s="5">
        <v>5</v>
      </c>
      <c r="D46" s="5">
        <v>4.7</v>
      </c>
      <c r="E46" s="5">
        <v>5.9</v>
      </c>
      <c r="F46" s="34"/>
      <c r="G46" s="5">
        <v>24.1</v>
      </c>
      <c r="H46" s="5">
        <v>5</v>
      </c>
      <c r="I46" s="5">
        <v>9</v>
      </c>
      <c r="J46" s="5"/>
      <c r="K46" s="5">
        <v>4.2</v>
      </c>
      <c r="L46" s="5">
        <v>24.1</v>
      </c>
      <c r="M46" s="5">
        <f t="shared" si="1"/>
        <v>82</v>
      </c>
      <c r="N46" s="26">
        <f t="shared" si="2"/>
        <v>8.1999999999999993</v>
      </c>
      <c r="P46" s="24">
        <v>610</v>
      </c>
      <c r="R46" s="24">
        <v>5.31</v>
      </c>
      <c r="S46" s="29">
        <v>30</v>
      </c>
      <c r="T46" s="29">
        <f t="shared" si="0"/>
        <v>7.5</v>
      </c>
      <c r="U46" s="30"/>
      <c r="W46" s="32"/>
    </row>
    <row r="47" spans="1:24" ht="19.5" customHeight="1">
      <c r="A47" s="4">
        <v>21</v>
      </c>
      <c r="B47" s="7" t="s">
        <v>5</v>
      </c>
      <c r="C47" s="5"/>
      <c r="D47" s="5"/>
      <c r="E47" s="5"/>
      <c r="F47" s="34">
        <v>12</v>
      </c>
      <c r="G47" s="5"/>
      <c r="H47" s="5"/>
      <c r="I47" s="5">
        <v>4</v>
      </c>
      <c r="J47" s="5"/>
      <c r="K47" s="5">
        <v>8</v>
      </c>
      <c r="L47" s="5"/>
      <c r="M47" s="5">
        <f t="shared" si="1"/>
        <v>24</v>
      </c>
      <c r="N47" s="16">
        <f t="shared" si="2"/>
        <v>2.4</v>
      </c>
      <c r="P47" s="24">
        <v>126</v>
      </c>
      <c r="R47" s="24">
        <v>0.19</v>
      </c>
      <c r="S47" s="29">
        <v>15</v>
      </c>
      <c r="T47" s="29">
        <f t="shared" si="0"/>
        <v>3.75</v>
      </c>
      <c r="U47" s="30"/>
      <c r="W47" s="32"/>
    </row>
    <row r="48" spans="1:24" ht="19.5" customHeight="1">
      <c r="A48" s="4">
        <v>22</v>
      </c>
      <c r="B48" s="7" t="s">
        <v>60</v>
      </c>
      <c r="C48" s="5"/>
      <c r="D48" s="5"/>
      <c r="E48" s="5">
        <v>0.1</v>
      </c>
      <c r="F48" s="34"/>
      <c r="G48" s="5">
        <v>2.2999999999999998</v>
      </c>
      <c r="H48" s="5"/>
      <c r="I48" s="5"/>
      <c r="J48" s="5"/>
      <c r="K48" s="5"/>
      <c r="L48" s="5">
        <v>2.2999999999999998</v>
      </c>
      <c r="M48" s="5">
        <f t="shared" si="1"/>
        <v>4.6999999999999993</v>
      </c>
      <c r="N48" s="16">
        <f t="shared" si="2"/>
        <v>0.46999999999999992</v>
      </c>
      <c r="P48" s="24">
        <v>7.5</v>
      </c>
      <c r="R48" s="24">
        <v>3.75</v>
      </c>
      <c r="S48" s="29">
        <v>1</v>
      </c>
      <c r="T48" s="29">
        <f t="shared" si="0"/>
        <v>0.25</v>
      </c>
      <c r="U48" s="30"/>
      <c r="W48" s="32"/>
    </row>
    <row r="49" spans="1:23" ht="19.5" customHeight="1">
      <c r="A49" s="4">
        <v>23</v>
      </c>
      <c r="B49" s="7" t="s">
        <v>68</v>
      </c>
      <c r="C49" s="5">
        <v>24</v>
      </c>
      <c r="D49" s="5">
        <v>15</v>
      </c>
      <c r="E49" s="5">
        <v>26.6</v>
      </c>
      <c r="F49" s="34"/>
      <c r="G49" s="5">
        <v>15</v>
      </c>
      <c r="H49" s="5">
        <v>21</v>
      </c>
      <c r="I49" s="5">
        <v>17</v>
      </c>
      <c r="J49" s="5"/>
      <c r="K49" s="5">
        <v>15.2</v>
      </c>
      <c r="L49" s="5">
        <v>15</v>
      </c>
      <c r="M49" s="5">
        <f t="shared" si="1"/>
        <v>148.79999999999998</v>
      </c>
      <c r="N49" s="16">
        <f t="shared" si="2"/>
        <v>14.879999999999999</v>
      </c>
      <c r="P49" s="24">
        <v>73</v>
      </c>
      <c r="R49" s="24">
        <v>1.22</v>
      </c>
      <c r="S49" s="29">
        <v>30</v>
      </c>
      <c r="T49" s="29">
        <f t="shared" si="0"/>
        <v>7.5</v>
      </c>
      <c r="U49" s="30"/>
      <c r="W49" s="32"/>
    </row>
    <row r="50" spans="1:23" ht="19.5" customHeight="1">
      <c r="A50" s="4">
        <v>24</v>
      </c>
      <c r="B50" s="7" t="s">
        <v>7</v>
      </c>
      <c r="C50" s="5"/>
      <c r="D50" s="5"/>
      <c r="E50" s="5"/>
      <c r="F50" s="34"/>
      <c r="G50" s="5"/>
      <c r="H50" s="5"/>
      <c r="I50" s="5"/>
      <c r="J50" s="5"/>
      <c r="K50" s="5"/>
      <c r="L50" s="5"/>
      <c r="M50" s="5">
        <f t="shared" si="1"/>
        <v>0</v>
      </c>
      <c r="N50" s="16">
        <f t="shared" si="2"/>
        <v>0</v>
      </c>
      <c r="P50" s="24"/>
      <c r="R50" s="24"/>
      <c r="S50" s="29">
        <v>10</v>
      </c>
      <c r="T50" s="29">
        <f t="shared" si="0"/>
        <v>2.5</v>
      </c>
      <c r="U50" s="30"/>
      <c r="W50" s="32"/>
    </row>
    <row r="51" spans="1:23" ht="19.5" customHeight="1">
      <c r="A51" s="4">
        <v>25</v>
      </c>
      <c r="B51" s="7" t="s">
        <v>8</v>
      </c>
      <c r="C51" s="5"/>
      <c r="D51" s="5"/>
      <c r="E51" s="5">
        <v>0.6</v>
      </c>
      <c r="F51" s="34">
        <v>0.6</v>
      </c>
      <c r="G51" s="5">
        <v>0.6</v>
      </c>
      <c r="H51" s="5"/>
      <c r="I51" s="5">
        <v>0.6</v>
      </c>
      <c r="J51" s="5"/>
      <c r="K51" s="5"/>
      <c r="L51" s="5">
        <v>0.6</v>
      </c>
      <c r="M51" s="5">
        <f t="shared" si="1"/>
        <v>3</v>
      </c>
      <c r="N51" s="16">
        <f t="shared" si="2"/>
        <v>0.3</v>
      </c>
      <c r="P51" s="24">
        <v>310</v>
      </c>
      <c r="R51" s="24">
        <v>0.11</v>
      </c>
      <c r="S51" s="29">
        <v>1</v>
      </c>
      <c r="T51" s="29">
        <f t="shared" si="0"/>
        <v>0.25</v>
      </c>
      <c r="U51" s="30"/>
      <c r="W51" s="32"/>
    </row>
    <row r="52" spans="1:23" ht="19.5" customHeight="1">
      <c r="A52" s="4">
        <v>26</v>
      </c>
      <c r="B52" s="7" t="s">
        <v>16</v>
      </c>
      <c r="C52" s="5">
        <v>4</v>
      </c>
      <c r="D52" s="5"/>
      <c r="E52" s="5"/>
      <c r="F52" s="34"/>
      <c r="G52" s="5"/>
      <c r="H52" s="5"/>
      <c r="I52" s="5"/>
      <c r="J52" s="5"/>
      <c r="K52" s="5"/>
      <c r="L52" s="5"/>
      <c r="M52" s="5">
        <f>SUM(C52:L52)</f>
        <v>4</v>
      </c>
      <c r="N52" s="16">
        <f>M52/10</f>
        <v>0.4</v>
      </c>
      <c r="P52" s="24">
        <v>210</v>
      </c>
      <c r="R52" s="24">
        <v>8.4000000000000005E-2</v>
      </c>
      <c r="S52" s="29">
        <v>1</v>
      </c>
      <c r="T52" s="29">
        <f t="shared" si="0"/>
        <v>0.25</v>
      </c>
      <c r="U52" s="30"/>
      <c r="W52" s="32"/>
    </row>
    <row r="53" spans="1:23" ht="19.5" customHeight="1">
      <c r="A53" s="4">
        <v>27</v>
      </c>
      <c r="B53" s="7" t="s">
        <v>17</v>
      </c>
      <c r="C53" s="5"/>
      <c r="D53" s="5">
        <v>4</v>
      </c>
      <c r="E53" s="5"/>
      <c r="F53" s="34"/>
      <c r="G53" s="5"/>
      <c r="H53" s="5">
        <v>4</v>
      </c>
      <c r="I53" s="5"/>
      <c r="J53" s="5"/>
      <c r="K53" s="5">
        <v>4</v>
      </c>
      <c r="L53" s="5"/>
      <c r="M53" s="5">
        <f>SUM(C53:L53)</f>
        <v>12</v>
      </c>
      <c r="N53" s="16">
        <f>M53/10</f>
        <v>1.2</v>
      </c>
      <c r="P53" s="24">
        <v>310</v>
      </c>
      <c r="R53" s="24">
        <v>0.372</v>
      </c>
      <c r="S53" s="29">
        <v>2</v>
      </c>
      <c r="T53" s="29">
        <f t="shared" si="0"/>
        <v>0.5</v>
      </c>
      <c r="U53" s="30"/>
      <c r="W53" s="32"/>
    </row>
    <row r="54" spans="1:23" ht="19.5" customHeight="1">
      <c r="A54" s="4">
        <v>28</v>
      </c>
      <c r="B54" s="7" t="s">
        <v>61</v>
      </c>
      <c r="C54" s="5"/>
      <c r="D54" s="5"/>
      <c r="E54" s="5"/>
      <c r="F54" s="34"/>
      <c r="G54" s="5"/>
      <c r="H54" s="5"/>
      <c r="I54" s="5"/>
      <c r="J54" s="5"/>
      <c r="K54" s="5"/>
      <c r="L54" s="5"/>
      <c r="M54" s="5">
        <f t="shared" ref="M54:M55" si="14">SUM(C54:L54)</f>
        <v>0</v>
      </c>
      <c r="N54" s="16">
        <f t="shared" ref="N54:N55" si="15">M54/10</f>
        <v>0</v>
      </c>
      <c r="P54" s="24"/>
      <c r="R54" s="24"/>
      <c r="S54" s="29">
        <v>0.2</v>
      </c>
      <c r="T54" s="29">
        <f t="shared" si="0"/>
        <v>0.05</v>
      </c>
      <c r="U54" s="30"/>
      <c r="W54" s="32"/>
    </row>
    <row r="55" spans="1:23" ht="19.5" customHeight="1">
      <c r="A55" s="4">
        <v>29</v>
      </c>
      <c r="B55" s="7" t="s">
        <v>62</v>
      </c>
      <c r="C55" s="5"/>
      <c r="D55" s="5"/>
      <c r="E55" s="5"/>
      <c r="F55" s="34"/>
      <c r="G55" s="5"/>
      <c r="H55" s="5"/>
      <c r="I55" s="5"/>
      <c r="J55" s="5"/>
      <c r="K55" s="5"/>
      <c r="L55" s="5"/>
      <c r="M55" s="5">
        <f t="shared" si="14"/>
        <v>0</v>
      </c>
      <c r="N55" s="16">
        <f t="shared" si="15"/>
        <v>0</v>
      </c>
      <c r="P55" s="24"/>
      <c r="R55" s="24"/>
      <c r="S55" s="29">
        <v>3</v>
      </c>
      <c r="T55" s="29">
        <f t="shared" si="0"/>
        <v>0.75</v>
      </c>
      <c r="U55" s="30"/>
      <c r="W55" s="32"/>
    </row>
    <row r="56" spans="1:23" ht="19.5" customHeight="1">
      <c r="A56" s="4">
        <v>30</v>
      </c>
      <c r="B56" s="7" t="s">
        <v>69</v>
      </c>
      <c r="C56" s="5">
        <v>0.3</v>
      </c>
      <c r="D56" s="5">
        <v>1.1000000000000001</v>
      </c>
      <c r="E56" s="5">
        <v>0.5</v>
      </c>
      <c r="F56" s="34">
        <v>0.6</v>
      </c>
      <c r="G56" s="5"/>
      <c r="H56" s="5">
        <v>0.5</v>
      </c>
      <c r="I56" s="5">
        <v>0.3</v>
      </c>
      <c r="J56" s="5"/>
      <c r="K56" s="5">
        <v>0.8</v>
      </c>
      <c r="L56" s="5"/>
      <c r="M56" s="5">
        <f>SUM(C56:L56)</f>
        <v>4.0999999999999996</v>
      </c>
      <c r="N56" s="16">
        <f>M56/10</f>
        <v>0.41</v>
      </c>
      <c r="P56" s="24">
        <v>17</v>
      </c>
      <c r="R56" s="24">
        <v>7.0000000000000001E-3</v>
      </c>
      <c r="S56" s="29">
        <v>3</v>
      </c>
      <c r="T56" s="29">
        <f t="shared" si="0"/>
        <v>0.75</v>
      </c>
      <c r="U56" s="30"/>
      <c r="W56" s="32"/>
    </row>
    <row r="57" spans="1:23" ht="19.5" customHeight="1">
      <c r="A57" s="4">
        <v>31</v>
      </c>
      <c r="B57" s="7" t="s">
        <v>63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1"/>
        <v>0</v>
      </c>
      <c r="N57" s="16">
        <f t="shared" si="2"/>
        <v>0</v>
      </c>
      <c r="P57" s="24"/>
      <c r="R57" s="24"/>
      <c r="S57" s="29">
        <v>2</v>
      </c>
      <c r="T57" s="29">
        <f t="shared" si="0"/>
        <v>0.5</v>
      </c>
      <c r="U57" s="30"/>
      <c r="W57" s="32"/>
    </row>
    <row r="58" spans="1:23" ht="22.5" customHeight="1">
      <c r="B58" s="10" t="s">
        <v>32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1"/>
      <c r="N58" s="17">
        <f>SUM(N6:N57)</f>
        <v>392.59999999999997</v>
      </c>
      <c r="P58" s="24"/>
      <c r="R58" s="25">
        <f>SUM(R26:R56)</f>
        <v>51.617999999999995</v>
      </c>
      <c r="S58" s="29"/>
      <c r="T58" s="29"/>
      <c r="U58" s="30"/>
      <c r="W58" s="32"/>
    </row>
    <row r="60" spans="1:23" ht="37.5" customHeight="1">
      <c r="B60" s="7" t="s">
        <v>74</v>
      </c>
      <c r="C60" s="19">
        <v>11642400</v>
      </c>
    </row>
    <row r="61" spans="1:23" ht="37.5" customHeight="1">
      <c r="B61" s="7" t="s">
        <v>82</v>
      </c>
      <c r="C61" s="19">
        <v>3676500</v>
      </c>
    </row>
    <row r="62" spans="1:23" ht="33.75" customHeight="1">
      <c r="B62" s="7" t="s">
        <v>73</v>
      </c>
      <c r="C62" s="19">
        <v>60.84</v>
      </c>
    </row>
    <row r="63" spans="1:23" ht="15.75">
      <c r="B63" s="18" t="s">
        <v>71</v>
      </c>
      <c r="C63" s="19">
        <v>60.84</v>
      </c>
    </row>
    <row r="64" spans="1:23" ht="15.75">
      <c r="B64" s="18" t="s">
        <v>72</v>
      </c>
      <c r="C64" s="19">
        <v>0</v>
      </c>
    </row>
    <row r="66" spans="2:13" ht="19.5" customHeight="1">
      <c r="B66" s="22" t="s">
        <v>79</v>
      </c>
      <c r="C66" s="20"/>
      <c r="D66" s="20"/>
      <c r="E66" s="20"/>
      <c r="F66" s="20"/>
      <c r="G66" s="20"/>
    </row>
    <row r="67" spans="2:13" ht="18.75">
      <c r="B67" s="21" t="s">
        <v>75</v>
      </c>
    </row>
    <row r="68" spans="2:13" ht="18.75">
      <c r="B68" s="21" t="s">
        <v>76</v>
      </c>
    </row>
    <row r="69" spans="2:13" ht="18.75">
      <c r="B69" s="21" t="s">
        <v>77</v>
      </c>
      <c r="M69" s="23" t="s">
        <v>78</v>
      </c>
    </row>
  </sheetData>
  <mergeCells count="8">
    <mergeCell ref="P3:P4"/>
    <mergeCell ref="R3:R4"/>
    <mergeCell ref="B2:N2"/>
    <mergeCell ref="B5:M5"/>
    <mergeCell ref="N3:N4"/>
    <mergeCell ref="B3:B4"/>
    <mergeCell ref="C3:L3"/>
    <mergeCell ref="M3:M4"/>
  </mergeCells>
  <phoneticPr fontId="8" type="noConversion"/>
  <pageMargins left="0" right="0" top="0" bottom="0" header="0.31496062992125984" footer="0.31496062992125984"/>
  <pageSetup paperSize="9" scale="55" fitToHeight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45"/>
  <sheetViews>
    <sheetView zoomScale="70" zoomScaleNormal="70" workbookViewId="0">
      <selection activeCell="E1" sqref="E1"/>
    </sheetView>
  </sheetViews>
  <sheetFormatPr defaultRowHeight="15.75"/>
  <cols>
    <col min="1" max="1" width="9.7109375" style="51" customWidth="1"/>
    <col min="2" max="2" width="12.7109375" style="51" customWidth="1"/>
    <col min="3" max="3" width="24.42578125" style="51" customWidth="1"/>
    <col min="4" max="4" width="10.7109375" style="53" customWidth="1"/>
    <col min="5" max="5" width="27.85546875" style="53" customWidth="1"/>
    <col min="6" max="6" width="7.85546875" style="53" customWidth="1"/>
    <col min="7" max="7" width="6.85546875" style="53" customWidth="1"/>
    <col min="8" max="8" width="5.7109375" style="53" customWidth="1"/>
    <col min="9" max="9" width="4.7109375" style="53" customWidth="1"/>
    <col min="10" max="11" width="9.140625" style="3" customWidth="1"/>
    <col min="12" max="16384" width="9.140625" style="53"/>
  </cols>
  <sheetData>
    <row r="1" spans="1:11">
      <c r="B1" s="52"/>
      <c r="E1" s="53" t="s">
        <v>88</v>
      </c>
      <c r="F1" s="53" t="s">
        <v>89</v>
      </c>
      <c r="G1" s="53">
        <f>6.7/45*1000</f>
        <v>148.88888888888891</v>
      </c>
      <c r="H1" s="53" t="s">
        <v>89</v>
      </c>
      <c r="I1" s="53">
        <f>6.7/55*1000</f>
        <v>121.81818181818183</v>
      </c>
    </row>
    <row r="2" spans="1:11" s="57" customFormat="1" ht="47.25">
      <c r="A2" s="54" t="s">
        <v>90</v>
      </c>
      <c r="B2" s="55">
        <f>(B4+B29+B73+B105+B133+B186+B208+B250+B277+B320)/10</f>
        <v>55.778113465789467</v>
      </c>
      <c r="C2" s="56"/>
      <c r="D2" s="57" t="s">
        <v>91</v>
      </c>
      <c r="J2" s="58" t="s">
        <v>92</v>
      </c>
      <c r="K2" s="58" t="s">
        <v>93</v>
      </c>
    </row>
    <row r="3" spans="1:11">
      <c r="A3" s="51" t="s">
        <v>19</v>
      </c>
      <c r="B3" s="51" t="s">
        <v>71</v>
      </c>
      <c r="C3" s="51" t="s">
        <v>94</v>
      </c>
      <c r="D3" s="53">
        <v>100</v>
      </c>
      <c r="J3" s="3">
        <v>65</v>
      </c>
      <c r="K3" s="59">
        <f>J3*D3/1000</f>
        <v>6.5</v>
      </c>
    </row>
    <row r="4" spans="1:11">
      <c r="A4" s="51" t="s">
        <v>95</v>
      </c>
      <c r="B4" s="60">
        <f>K3+K4+K5+K17+K26</f>
        <v>38.745930000000001</v>
      </c>
      <c r="C4" s="51" t="s">
        <v>96</v>
      </c>
      <c r="D4" s="53">
        <v>20</v>
      </c>
      <c r="F4" s="53">
        <v>21</v>
      </c>
      <c r="J4" s="3">
        <v>498</v>
      </c>
      <c r="K4" s="59">
        <f>F4*J4/1000</f>
        <v>10.458</v>
      </c>
    </row>
    <row r="5" spans="1:11">
      <c r="B5" s="51">
        <f>D3+D4+D5+D17+D26</f>
        <v>560</v>
      </c>
      <c r="C5" s="51" t="s">
        <v>97</v>
      </c>
      <c r="D5" s="53">
        <v>200</v>
      </c>
      <c r="E5" s="378" t="s">
        <v>98</v>
      </c>
      <c r="F5" s="203" t="s">
        <v>99</v>
      </c>
      <c r="G5" s="204"/>
      <c r="H5" s="204"/>
      <c r="I5" s="204"/>
      <c r="K5" s="59">
        <f>SUM(K8:K13)</f>
        <v>12.429930000000001</v>
      </c>
    </row>
    <row r="6" spans="1:11">
      <c r="E6" s="379"/>
      <c r="F6" s="205">
        <v>1</v>
      </c>
      <c r="G6" s="206"/>
      <c r="H6" s="206"/>
      <c r="I6" s="207"/>
    </row>
    <row r="7" spans="1:11">
      <c r="E7" s="380"/>
      <c r="F7" s="136" t="s">
        <v>100</v>
      </c>
      <c r="G7" s="137"/>
      <c r="H7" s="136" t="s">
        <v>101</v>
      </c>
      <c r="I7" s="137"/>
    </row>
    <row r="8" spans="1:11">
      <c r="E8" s="61" t="s">
        <v>102</v>
      </c>
      <c r="F8" s="62">
        <v>40</v>
      </c>
      <c r="G8" s="63"/>
      <c r="H8" s="62">
        <f t="shared" ref="H8:H13" si="0">F8</f>
        <v>40</v>
      </c>
      <c r="I8" s="63"/>
      <c r="J8" s="3">
        <v>40</v>
      </c>
      <c r="K8" s="3">
        <f t="shared" ref="K8:K13" si="1">J8*F8/1000</f>
        <v>1.6</v>
      </c>
    </row>
    <row r="9" spans="1:11">
      <c r="E9" s="64" t="s">
        <v>103</v>
      </c>
      <c r="F9" s="65">
        <v>140</v>
      </c>
      <c r="G9" s="66"/>
      <c r="H9" s="65">
        <f t="shared" si="0"/>
        <v>140</v>
      </c>
      <c r="I9" s="66"/>
      <c r="J9" s="3">
        <v>57.5</v>
      </c>
      <c r="K9" s="3">
        <f t="shared" si="1"/>
        <v>8.0500000000000007</v>
      </c>
    </row>
    <row r="10" spans="1:11">
      <c r="E10" s="64" t="s">
        <v>104</v>
      </c>
      <c r="F10" s="65">
        <v>60</v>
      </c>
      <c r="G10" s="66"/>
      <c r="H10" s="65">
        <f t="shared" si="0"/>
        <v>60</v>
      </c>
      <c r="I10" s="66"/>
      <c r="K10" s="3">
        <f t="shared" si="1"/>
        <v>0</v>
      </c>
    </row>
    <row r="11" spans="1:11">
      <c r="E11" s="64" t="s">
        <v>105</v>
      </c>
      <c r="F11" s="65">
        <v>5</v>
      </c>
      <c r="G11" s="66"/>
      <c r="H11" s="65">
        <f t="shared" si="0"/>
        <v>5</v>
      </c>
      <c r="I11" s="66"/>
      <c r="J11" s="3">
        <v>497.15</v>
      </c>
      <c r="K11" s="3">
        <f t="shared" si="1"/>
        <v>2.4857499999999999</v>
      </c>
    </row>
    <row r="12" spans="1:11">
      <c r="E12" s="64" t="s">
        <v>106</v>
      </c>
      <c r="F12" s="65">
        <v>0.3</v>
      </c>
      <c r="G12" s="66"/>
      <c r="H12" s="65">
        <f t="shared" si="0"/>
        <v>0.3</v>
      </c>
      <c r="I12" s="66"/>
      <c r="J12" s="3">
        <v>17</v>
      </c>
      <c r="K12" s="3">
        <f t="shared" si="1"/>
        <v>5.0999999999999995E-3</v>
      </c>
    </row>
    <row r="13" spans="1:11">
      <c r="E13" s="64" t="s">
        <v>107</v>
      </c>
      <c r="F13" s="65">
        <v>4</v>
      </c>
      <c r="G13" s="66"/>
      <c r="H13" s="65">
        <f t="shared" si="0"/>
        <v>4</v>
      </c>
      <c r="I13" s="66"/>
      <c r="J13" s="3">
        <v>72.27</v>
      </c>
      <c r="K13" s="3">
        <f t="shared" si="1"/>
        <v>0.28908</v>
      </c>
    </row>
    <row r="14" spans="1:11">
      <c r="E14" s="64"/>
      <c r="F14" s="67"/>
      <c r="G14" s="68"/>
      <c r="H14" s="67"/>
      <c r="I14" s="68"/>
    </row>
    <row r="15" spans="1:11">
      <c r="A15" s="69"/>
      <c r="E15" s="70" t="s">
        <v>108</v>
      </c>
      <c r="F15" s="117" t="s">
        <v>109</v>
      </c>
      <c r="G15" s="118"/>
      <c r="H15" s="208">
        <v>200</v>
      </c>
      <c r="I15" s="209"/>
    </row>
    <row r="17" spans="1:26">
      <c r="C17" s="51" t="s">
        <v>110</v>
      </c>
      <c r="D17" s="53">
        <v>200</v>
      </c>
      <c r="E17" s="373" t="s">
        <v>98</v>
      </c>
      <c r="F17" s="210" t="s">
        <v>99</v>
      </c>
      <c r="G17" s="211"/>
      <c r="H17" s="211"/>
      <c r="I17" s="211"/>
      <c r="K17" s="71">
        <f>K20+K21+K22+K23</f>
        <v>7.3504000000000005</v>
      </c>
    </row>
    <row r="18" spans="1:26">
      <c r="E18" s="374"/>
      <c r="F18" s="376">
        <v>1</v>
      </c>
      <c r="G18" s="376"/>
      <c r="H18" s="376"/>
      <c r="I18" s="376"/>
    </row>
    <row r="19" spans="1:26">
      <c r="E19" s="375"/>
      <c r="F19" s="377" t="s">
        <v>100</v>
      </c>
      <c r="G19" s="377"/>
      <c r="H19" s="377" t="s">
        <v>101</v>
      </c>
      <c r="I19" s="377"/>
    </row>
    <row r="20" spans="1:26">
      <c r="E20" s="72" t="s">
        <v>16</v>
      </c>
      <c r="F20" s="73">
        <v>4</v>
      </c>
      <c r="G20" s="74"/>
      <c r="H20" s="383">
        <f>F20</f>
        <v>4</v>
      </c>
      <c r="I20" s="383"/>
      <c r="J20" s="3">
        <v>272</v>
      </c>
      <c r="K20" s="3">
        <f>F20*J20/1000</f>
        <v>1.0880000000000001</v>
      </c>
    </row>
    <row r="21" spans="1:26">
      <c r="E21" s="75" t="s">
        <v>103</v>
      </c>
      <c r="F21" s="76">
        <v>100</v>
      </c>
      <c r="G21" s="77"/>
      <c r="H21" s="383">
        <f>F21</f>
        <v>100</v>
      </c>
      <c r="I21" s="383"/>
      <c r="J21" s="3">
        <v>48.17</v>
      </c>
      <c r="K21" s="3">
        <f>F21*J21/1000</f>
        <v>4.8170000000000002</v>
      </c>
    </row>
    <row r="22" spans="1:26">
      <c r="E22" s="75" t="s">
        <v>104</v>
      </c>
      <c r="F22" s="76">
        <v>110</v>
      </c>
      <c r="G22" s="77"/>
      <c r="H22" s="383">
        <f>F22</f>
        <v>110</v>
      </c>
      <c r="I22" s="383"/>
      <c r="K22" s="3">
        <f>F22*J22/1000</f>
        <v>0</v>
      </c>
    </row>
    <row r="23" spans="1:26">
      <c r="E23" s="75" t="s">
        <v>111</v>
      </c>
      <c r="F23" s="78">
        <v>20</v>
      </c>
      <c r="G23" s="79"/>
      <c r="H23" s="383">
        <f>F23</f>
        <v>20</v>
      </c>
      <c r="I23" s="383"/>
      <c r="J23" s="3">
        <v>72.27</v>
      </c>
      <c r="K23" s="3">
        <f>F23*J23/1000</f>
        <v>1.4453999999999998</v>
      </c>
    </row>
    <row r="24" spans="1:26">
      <c r="E24" s="80" t="s">
        <v>108</v>
      </c>
      <c r="F24" s="381" t="s">
        <v>109</v>
      </c>
      <c r="G24" s="381"/>
      <c r="H24" s="382">
        <v>200</v>
      </c>
      <c r="I24" s="382"/>
    </row>
    <row r="26" spans="1:26">
      <c r="C26" s="51" t="s">
        <v>112</v>
      </c>
      <c r="D26" s="53">
        <v>40</v>
      </c>
      <c r="J26" s="3">
        <v>50.19</v>
      </c>
      <c r="K26" s="71">
        <f>J26*D26/1000</f>
        <v>2.0076000000000001</v>
      </c>
    </row>
    <row r="27" spans="1:26" ht="16.5" thickBot="1">
      <c r="A27" s="81"/>
      <c r="B27" s="81"/>
      <c r="C27" s="81"/>
      <c r="D27" s="82"/>
      <c r="E27" s="82"/>
      <c r="F27" s="82"/>
      <c r="G27" s="82"/>
      <c r="H27" s="82"/>
      <c r="I27" s="82"/>
      <c r="J27" s="83"/>
      <c r="K27" s="83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>
      <c r="A28" s="51" t="s">
        <v>20</v>
      </c>
      <c r="B28" s="51" t="s">
        <v>71</v>
      </c>
      <c r="C28" s="168"/>
      <c r="D28" s="168"/>
      <c r="E28" s="168"/>
      <c r="F28" s="168"/>
      <c r="G28" s="168"/>
      <c r="H28" s="168"/>
      <c r="I28" s="168"/>
      <c r="J28" s="89"/>
      <c r="K28" s="89"/>
    </row>
    <row r="29" spans="1:26">
      <c r="A29" s="51" t="s">
        <v>113</v>
      </c>
      <c r="B29" s="85">
        <f>K29+K31+K56+K62+K69</f>
        <v>58.925489999999989</v>
      </c>
      <c r="C29" s="123" t="s">
        <v>337</v>
      </c>
      <c r="D29" s="124">
        <v>40</v>
      </c>
      <c r="E29" s="124"/>
      <c r="F29" s="124">
        <v>42</v>
      </c>
      <c r="G29" s="124"/>
      <c r="H29" s="124"/>
      <c r="I29" s="124"/>
      <c r="J29" s="111">
        <v>100</v>
      </c>
      <c r="K29" s="228">
        <f>J29*F29/1000</f>
        <v>4.2</v>
      </c>
      <c r="L29" s="220"/>
    </row>
    <row r="30" spans="1:26">
      <c r="B30" s="51">
        <f>D28+D31+D56+D62+D69</f>
        <v>480</v>
      </c>
      <c r="K30" s="89"/>
      <c r="L30" s="220"/>
    </row>
    <row r="31" spans="1:26">
      <c r="B31" s="52"/>
      <c r="C31" s="90" t="s">
        <v>114</v>
      </c>
      <c r="D31" s="53">
        <v>90</v>
      </c>
      <c r="F31" s="212">
        <v>1</v>
      </c>
      <c r="G31" s="212"/>
      <c r="H31" s="212"/>
      <c r="I31" s="212"/>
      <c r="K31" s="84">
        <f>SUM(K33:K52)</f>
        <v>39.507389999999994</v>
      </c>
      <c r="L31" s="220"/>
    </row>
    <row r="32" spans="1:26">
      <c r="F32" s="222" t="s">
        <v>100</v>
      </c>
      <c r="G32" s="213"/>
      <c r="H32" s="222" t="s">
        <v>101</v>
      </c>
      <c r="I32" s="213"/>
      <c r="L32" s="220"/>
    </row>
    <row r="33" spans="1:11">
      <c r="A33" s="53"/>
      <c r="B33" s="53"/>
      <c r="E33" s="91" t="s">
        <v>115</v>
      </c>
      <c r="F33" s="91">
        <v>63.36</v>
      </c>
      <c r="G33" s="92"/>
      <c r="H33" s="110">
        <v>46.62</v>
      </c>
      <c r="I33" s="110"/>
      <c r="J33" s="3">
        <v>548</v>
      </c>
      <c r="K33" s="3">
        <f>F33*J33/1000</f>
        <v>34.72128</v>
      </c>
    </row>
    <row r="34" spans="1:11">
      <c r="A34" s="53"/>
      <c r="B34" s="53"/>
      <c r="E34" s="91" t="s">
        <v>103</v>
      </c>
      <c r="F34" s="91">
        <v>15.12</v>
      </c>
      <c r="G34" s="92"/>
      <c r="H34" s="110">
        <v>15.12</v>
      </c>
      <c r="I34" s="110"/>
      <c r="J34" s="3">
        <v>57.5</v>
      </c>
      <c r="K34" s="3">
        <f>F34*J34/1000</f>
        <v>0.86939999999999995</v>
      </c>
    </row>
    <row r="35" spans="1:11">
      <c r="A35" s="53"/>
      <c r="B35" s="53"/>
      <c r="E35" s="91" t="s">
        <v>116</v>
      </c>
      <c r="F35" s="91">
        <v>15.12</v>
      </c>
      <c r="G35" s="92"/>
      <c r="H35" s="110">
        <v>15.12</v>
      </c>
      <c r="I35" s="110"/>
    </row>
    <row r="36" spans="1:11">
      <c r="A36" s="53"/>
      <c r="B36" s="53"/>
      <c r="E36" s="91" t="s">
        <v>117</v>
      </c>
      <c r="F36" s="91">
        <v>11.34</v>
      </c>
      <c r="G36" s="92"/>
      <c r="H36" s="110">
        <v>11.34</v>
      </c>
      <c r="I36" s="110"/>
      <c r="J36" s="3">
        <v>50.09</v>
      </c>
      <c r="K36" s="3">
        <f>F36*J36/1000</f>
        <v>0.5680206000000001</v>
      </c>
    </row>
    <row r="37" spans="1:11">
      <c r="A37" s="53"/>
      <c r="B37" s="53"/>
      <c r="E37" s="91" t="s">
        <v>118</v>
      </c>
      <c r="F37" s="91">
        <v>6.3</v>
      </c>
      <c r="G37" s="92"/>
      <c r="H37" s="110">
        <v>6.3</v>
      </c>
      <c r="I37" s="110"/>
      <c r="J37" s="3">
        <v>200</v>
      </c>
      <c r="K37" s="3">
        <f>F37*J37/1000</f>
        <v>1.26</v>
      </c>
    </row>
    <row r="38" spans="1:11">
      <c r="A38" s="53"/>
      <c r="B38" s="53"/>
      <c r="E38" s="91" t="s">
        <v>119</v>
      </c>
      <c r="F38" s="91" t="s">
        <v>109</v>
      </c>
      <c r="G38" s="92"/>
      <c r="H38" s="110">
        <v>78.12</v>
      </c>
      <c r="I38" s="110"/>
    </row>
    <row r="39" spans="1:11">
      <c r="A39" s="53"/>
      <c r="B39" s="53"/>
      <c r="E39" s="91" t="s">
        <v>5</v>
      </c>
      <c r="F39" s="93">
        <v>3.78</v>
      </c>
      <c r="G39" s="94"/>
      <c r="H39" s="110">
        <v>3.78</v>
      </c>
      <c r="I39" s="110"/>
      <c r="J39" s="3">
        <v>152</v>
      </c>
      <c r="K39" s="3">
        <f>F39*J39/1000</f>
        <v>0.57455999999999996</v>
      </c>
    </row>
    <row r="40" spans="1:11" ht="25.5">
      <c r="A40" s="53"/>
      <c r="B40" s="53"/>
      <c r="E40" s="91" t="s">
        <v>120</v>
      </c>
      <c r="F40" s="91" t="s">
        <v>109</v>
      </c>
      <c r="G40" s="92"/>
      <c r="H40" s="110" t="s">
        <v>109</v>
      </c>
      <c r="I40" s="110"/>
    </row>
    <row r="41" spans="1:11">
      <c r="A41" s="53"/>
      <c r="B41" s="53"/>
      <c r="E41" s="91" t="s">
        <v>121</v>
      </c>
      <c r="F41" s="91" t="s">
        <v>109</v>
      </c>
      <c r="G41" s="92"/>
      <c r="H41" s="110">
        <v>63</v>
      </c>
      <c r="I41" s="110"/>
    </row>
    <row r="42" spans="1:11">
      <c r="A42" s="53"/>
      <c r="B42" s="53"/>
      <c r="E42" s="91" t="s">
        <v>122</v>
      </c>
      <c r="F42" s="91" t="s">
        <v>109</v>
      </c>
      <c r="G42" s="92"/>
      <c r="H42" s="110">
        <v>27</v>
      </c>
      <c r="I42" s="110"/>
    </row>
    <row r="43" spans="1:11">
      <c r="A43" s="53"/>
      <c r="B43" s="53"/>
      <c r="E43" s="91" t="s">
        <v>123</v>
      </c>
      <c r="F43" s="91">
        <v>24.3</v>
      </c>
      <c r="G43" s="92"/>
      <c r="H43" s="110">
        <v>24.3</v>
      </c>
      <c r="I43" s="110"/>
    </row>
    <row r="44" spans="1:11">
      <c r="A44" s="53"/>
      <c r="B44" s="53"/>
      <c r="E44" s="91" t="s">
        <v>116</v>
      </c>
      <c r="F44" s="91">
        <v>24.3</v>
      </c>
      <c r="G44" s="92"/>
      <c r="H44" s="110">
        <v>24.3</v>
      </c>
      <c r="I44" s="110"/>
    </row>
    <row r="45" spans="1:11">
      <c r="A45" s="53"/>
      <c r="B45" s="53"/>
      <c r="E45" s="91" t="s">
        <v>105</v>
      </c>
      <c r="F45" s="95">
        <v>1.26</v>
      </c>
      <c r="G45" s="96"/>
      <c r="H45" s="110">
        <v>1.26</v>
      </c>
      <c r="I45" s="110"/>
      <c r="J45" s="3">
        <v>497.15</v>
      </c>
      <c r="K45" s="3">
        <f t="shared" ref="K45:K52" si="2">F45*J45/1000</f>
        <v>0.62640899999999999</v>
      </c>
    </row>
    <row r="46" spans="1:11">
      <c r="A46" s="53"/>
      <c r="B46" s="53"/>
      <c r="E46" s="91" t="s">
        <v>34</v>
      </c>
      <c r="F46" s="91">
        <v>1.26</v>
      </c>
      <c r="G46" s="92"/>
      <c r="H46" s="110">
        <v>1.26</v>
      </c>
      <c r="I46" s="110"/>
      <c r="J46" s="3">
        <v>37</v>
      </c>
      <c r="K46" s="3">
        <f t="shared" si="2"/>
        <v>4.6619999999999995E-2</v>
      </c>
    </row>
    <row r="47" spans="1:11">
      <c r="A47" s="53"/>
      <c r="B47" s="53"/>
      <c r="E47" s="91" t="s">
        <v>45</v>
      </c>
      <c r="F47" s="91">
        <v>2.0699999999999998</v>
      </c>
      <c r="G47" s="92"/>
      <c r="H47" s="110">
        <v>1.62</v>
      </c>
      <c r="I47" s="110"/>
      <c r="J47" s="3">
        <v>30</v>
      </c>
      <c r="K47" s="3">
        <f t="shared" si="2"/>
        <v>6.2099999999999995E-2</v>
      </c>
    </row>
    <row r="48" spans="1:11">
      <c r="A48" s="53"/>
      <c r="B48" s="53"/>
      <c r="E48" s="91" t="s">
        <v>44</v>
      </c>
      <c r="F48" s="91">
        <v>0.63</v>
      </c>
      <c r="G48" s="92"/>
      <c r="H48" s="110">
        <v>0.54</v>
      </c>
      <c r="I48" s="110"/>
      <c r="J48" s="3">
        <v>20</v>
      </c>
      <c r="K48" s="3">
        <f t="shared" si="2"/>
        <v>1.26E-2</v>
      </c>
    </row>
    <row r="49" spans="1:11">
      <c r="A49" s="53"/>
      <c r="B49" s="53"/>
      <c r="E49" s="91" t="s">
        <v>105</v>
      </c>
      <c r="F49" s="95">
        <v>0.45</v>
      </c>
      <c r="G49" s="96"/>
      <c r="H49" s="110">
        <v>0.45</v>
      </c>
      <c r="I49" s="110"/>
      <c r="J49" s="3">
        <v>497.15</v>
      </c>
      <c r="K49" s="3">
        <f t="shared" si="2"/>
        <v>0.22371750000000001</v>
      </c>
    </row>
    <row r="50" spans="1:11">
      <c r="A50" s="53"/>
      <c r="B50" s="53"/>
      <c r="E50" s="91" t="s">
        <v>124</v>
      </c>
      <c r="F50" s="91">
        <v>0.09</v>
      </c>
      <c r="G50" s="92"/>
      <c r="H50" s="110">
        <v>0.09</v>
      </c>
      <c r="I50" s="110"/>
      <c r="J50" s="3">
        <v>17</v>
      </c>
      <c r="K50" s="3">
        <f t="shared" si="2"/>
        <v>1.5300000000000001E-3</v>
      </c>
    </row>
    <row r="51" spans="1:11">
      <c r="A51" s="53"/>
      <c r="B51" s="53"/>
      <c r="E51" s="91" t="s">
        <v>125</v>
      </c>
      <c r="F51" s="91">
        <v>0.27</v>
      </c>
      <c r="G51" s="92"/>
      <c r="H51" s="110">
        <v>0.27</v>
      </c>
      <c r="I51" s="110"/>
      <c r="J51" s="3">
        <v>72.27</v>
      </c>
      <c r="K51" s="3">
        <f t="shared" si="2"/>
        <v>1.9512900000000003E-2</v>
      </c>
    </row>
    <row r="52" spans="1:11">
      <c r="A52" s="53"/>
      <c r="B52" s="53"/>
      <c r="E52" s="91" t="s">
        <v>126</v>
      </c>
      <c r="F52" s="91">
        <v>3.78</v>
      </c>
      <c r="G52" s="92"/>
      <c r="H52" s="110">
        <v>3.78</v>
      </c>
      <c r="I52" s="110"/>
      <c r="J52" s="3">
        <v>138</v>
      </c>
      <c r="K52" s="3">
        <f t="shared" si="2"/>
        <v>0.52163999999999999</v>
      </c>
    </row>
    <row r="53" spans="1:11">
      <c r="A53" s="53"/>
      <c r="B53" s="53"/>
      <c r="E53" s="97" t="s">
        <v>127</v>
      </c>
      <c r="F53" s="223">
        <v>90</v>
      </c>
      <c r="G53" s="224"/>
      <c r="H53" s="224"/>
      <c r="I53" s="225"/>
    </row>
    <row r="54" spans="1:11">
      <c r="A54" s="53"/>
      <c r="B54" s="53"/>
      <c r="E54" s="98"/>
      <c r="F54" s="99"/>
      <c r="G54" s="99"/>
      <c r="H54" s="100"/>
      <c r="I54" s="100"/>
    </row>
    <row r="55" spans="1:11">
      <c r="A55" s="53"/>
      <c r="B55" s="53"/>
    </row>
    <row r="56" spans="1:11">
      <c r="A56" s="53"/>
      <c r="B56" s="53"/>
      <c r="C56" s="51" t="s">
        <v>128</v>
      </c>
      <c r="D56" s="53">
        <v>150</v>
      </c>
      <c r="F56" s="192" t="s">
        <v>100</v>
      </c>
      <c r="G56" s="192"/>
      <c r="H56" s="192" t="s">
        <v>101</v>
      </c>
      <c r="I56" s="192"/>
      <c r="K56" s="84">
        <f>K57+K58+K59</f>
        <v>4.70045</v>
      </c>
    </row>
    <row r="57" spans="1:11">
      <c r="A57" s="53"/>
      <c r="B57" s="53"/>
      <c r="E57" s="61" t="s">
        <v>129</v>
      </c>
      <c r="F57" s="62">
        <v>38</v>
      </c>
      <c r="G57" s="63"/>
      <c r="H57" s="193">
        <v>38</v>
      </c>
      <c r="I57" s="193"/>
      <c r="J57" s="3">
        <v>84</v>
      </c>
      <c r="K57" s="3">
        <f>J57*F57/1000</f>
        <v>3.1920000000000002</v>
      </c>
    </row>
    <row r="58" spans="1:11">
      <c r="A58" s="53"/>
      <c r="B58" s="53"/>
      <c r="E58" s="101" t="s">
        <v>105</v>
      </c>
      <c r="F58" s="102">
        <v>3</v>
      </c>
      <c r="G58" s="103"/>
      <c r="H58" s="194">
        <v>3</v>
      </c>
      <c r="I58" s="195"/>
      <c r="J58" s="3">
        <v>497.15</v>
      </c>
      <c r="K58" s="3">
        <f>J58*F58/1000</f>
        <v>1.4914499999999997</v>
      </c>
    </row>
    <row r="59" spans="1:11">
      <c r="A59" s="53"/>
      <c r="B59" s="53"/>
      <c r="E59" s="61" t="s">
        <v>106</v>
      </c>
      <c r="F59" s="67">
        <v>1</v>
      </c>
      <c r="G59" s="68"/>
      <c r="H59" s="193">
        <v>1</v>
      </c>
      <c r="I59" s="193"/>
      <c r="J59" s="3">
        <v>17</v>
      </c>
      <c r="K59" s="3">
        <f>J59*F59/1000</f>
        <v>1.7000000000000001E-2</v>
      </c>
    </row>
    <row r="60" spans="1:11">
      <c r="E60" s="70" t="s">
        <v>108</v>
      </c>
      <c r="F60" s="226" t="s">
        <v>109</v>
      </c>
      <c r="G60" s="226"/>
      <c r="H60" s="227">
        <v>150</v>
      </c>
      <c r="I60" s="227"/>
    </row>
    <row r="61" spans="1:11">
      <c r="A61" s="53"/>
      <c r="B61" s="53"/>
    </row>
    <row r="62" spans="1:11">
      <c r="C62" s="51" t="s">
        <v>130</v>
      </c>
      <c r="D62" s="53">
        <v>200</v>
      </c>
      <c r="F62" s="192" t="s">
        <v>100</v>
      </c>
      <c r="G62" s="192"/>
      <c r="H62" s="192" t="s">
        <v>101</v>
      </c>
      <c r="I62" s="192"/>
      <c r="K62" s="84">
        <f>SUM(K63:K66)</f>
        <v>8.514050000000001</v>
      </c>
    </row>
    <row r="63" spans="1:11">
      <c r="E63" s="61" t="s">
        <v>131</v>
      </c>
      <c r="F63" s="62">
        <v>4</v>
      </c>
      <c r="G63" s="63"/>
      <c r="H63" s="193">
        <v>4</v>
      </c>
      <c r="I63" s="193"/>
      <c r="J63" s="3">
        <v>420</v>
      </c>
      <c r="K63" s="3">
        <f>J63*F63/1000</f>
        <v>1.68</v>
      </c>
    </row>
    <row r="64" spans="1:11">
      <c r="E64" s="64" t="s">
        <v>107</v>
      </c>
      <c r="F64" s="65">
        <v>15</v>
      </c>
      <c r="G64" s="66"/>
      <c r="H64" s="194">
        <v>15</v>
      </c>
      <c r="I64" s="195"/>
      <c r="J64" s="3">
        <v>72.27</v>
      </c>
      <c r="K64" s="3">
        <f>J64*F64/1000</f>
        <v>1.08405</v>
      </c>
    </row>
    <row r="65" spans="1:24">
      <c r="E65" s="64" t="s">
        <v>65</v>
      </c>
      <c r="F65" s="65">
        <v>100</v>
      </c>
      <c r="G65" s="66"/>
      <c r="H65" s="330">
        <v>100</v>
      </c>
      <c r="I65" s="331"/>
      <c r="J65" s="3">
        <v>57.5</v>
      </c>
      <c r="K65" s="3">
        <f>J65*F65/1000</f>
        <v>5.75</v>
      </c>
    </row>
    <row r="66" spans="1:24">
      <c r="E66" s="64" t="s">
        <v>104</v>
      </c>
      <c r="F66" s="67">
        <v>81</v>
      </c>
      <c r="G66" s="68"/>
      <c r="H66" s="330">
        <v>81</v>
      </c>
      <c r="I66" s="331"/>
      <c r="J66" s="3">
        <v>0</v>
      </c>
      <c r="K66" s="3">
        <f>J66*F66/1000</f>
        <v>0</v>
      </c>
    </row>
    <row r="67" spans="1:24">
      <c r="E67" s="70" t="s">
        <v>108</v>
      </c>
      <c r="F67" s="336" t="s">
        <v>109</v>
      </c>
      <c r="G67" s="336"/>
      <c r="H67" s="332">
        <v>200</v>
      </c>
      <c r="I67" s="332"/>
    </row>
    <row r="69" spans="1:24">
      <c r="C69" s="51" t="s">
        <v>112</v>
      </c>
      <c r="D69" s="53">
        <v>40</v>
      </c>
      <c r="J69" s="3">
        <v>50.09</v>
      </c>
      <c r="K69" s="84">
        <f>J69*D69/1000</f>
        <v>2.0036</v>
      </c>
    </row>
    <row r="71" spans="1:24" ht="16.5" thickBot="1">
      <c r="A71" s="81"/>
      <c r="B71" s="81"/>
      <c r="C71" s="81"/>
      <c r="D71" s="82"/>
      <c r="E71" s="82"/>
      <c r="F71" s="82"/>
      <c r="G71" s="82"/>
      <c r="H71" s="82"/>
      <c r="I71" s="82"/>
      <c r="J71" s="83"/>
      <c r="K71" s="83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</row>
    <row r="72" spans="1:24">
      <c r="A72" s="51" t="s">
        <v>21</v>
      </c>
      <c r="B72" s="51" t="s">
        <v>71</v>
      </c>
    </row>
    <row r="73" spans="1:24">
      <c r="A73" s="51" t="s">
        <v>132</v>
      </c>
      <c r="B73" s="104">
        <f>K73+K79+K83+K97+K102</f>
        <v>62.255287000000003</v>
      </c>
      <c r="C73" s="51" t="s">
        <v>133</v>
      </c>
      <c r="D73" s="53">
        <v>60</v>
      </c>
      <c r="F73" s="333" t="s">
        <v>100</v>
      </c>
      <c r="G73" s="333"/>
      <c r="H73" s="333" t="s">
        <v>101</v>
      </c>
      <c r="I73" s="333"/>
      <c r="K73" s="44">
        <f>K74+K75+K76</f>
        <v>3.1298620000000001</v>
      </c>
    </row>
    <row r="74" spans="1:24">
      <c r="A74" s="53"/>
      <c r="B74" s="53">
        <f>D73+D79+D83+D97+D102</f>
        <v>500</v>
      </c>
      <c r="E74" s="61" t="s">
        <v>45</v>
      </c>
      <c r="F74" s="62">
        <v>56.3</v>
      </c>
      <c r="G74" s="63"/>
      <c r="H74" s="329">
        <v>45</v>
      </c>
      <c r="I74" s="329"/>
      <c r="J74" s="3">
        <v>30</v>
      </c>
      <c r="K74" s="3">
        <f>F74*J74/1000</f>
        <v>1.6890000000000001</v>
      </c>
    </row>
    <row r="75" spans="1:24">
      <c r="A75" s="53"/>
      <c r="B75" s="87"/>
      <c r="E75" s="61" t="s">
        <v>134</v>
      </c>
      <c r="F75" s="65">
        <v>21.5</v>
      </c>
      <c r="G75" s="66"/>
      <c r="H75" s="329">
        <v>15</v>
      </c>
      <c r="I75" s="329"/>
      <c r="J75" s="3">
        <v>65</v>
      </c>
      <c r="K75" s="3">
        <f>F75*J75/1000</f>
        <v>1.3975</v>
      </c>
    </row>
    <row r="76" spans="1:24">
      <c r="A76" s="53"/>
      <c r="B76" s="53"/>
      <c r="E76" s="61" t="s">
        <v>107</v>
      </c>
      <c r="F76" s="67">
        <v>0.6</v>
      </c>
      <c r="G76" s="68"/>
      <c r="H76" s="329">
        <v>0.6</v>
      </c>
      <c r="I76" s="329"/>
      <c r="J76" s="3">
        <v>72.27</v>
      </c>
      <c r="K76" s="3">
        <f>F76*J76/1000</f>
        <v>4.3361999999999998E-2</v>
      </c>
    </row>
    <row r="77" spans="1:24">
      <c r="A77" s="53"/>
      <c r="B77" s="53"/>
      <c r="E77" s="70" t="s">
        <v>108</v>
      </c>
      <c r="F77" s="336" t="s">
        <v>109</v>
      </c>
      <c r="G77" s="336"/>
      <c r="H77" s="332">
        <v>60</v>
      </c>
      <c r="I77" s="332"/>
    </row>
    <row r="79" spans="1:24">
      <c r="A79" s="53"/>
      <c r="B79" s="53"/>
      <c r="C79" s="51" t="s">
        <v>135</v>
      </c>
      <c r="D79" s="53">
        <v>30</v>
      </c>
      <c r="F79" s="333" t="s">
        <v>100</v>
      </c>
      <c r="G79" s="333"/>
      <c r="H79" s="333" t="s">
        <v>101</v>
      </c>
      <c r="I79" s="333"/>
      <c r="K79" s="44">
        <f>K80</f>
        <v>4.41</v>
      </c>
    </row>
    <row r="80" spans="1:24">
      <c r="A80" s="53"/>
      <c r="B80" s="53"/>
      <c r="E80" s="61" t="s">
        <v>136</v>
      </c>
      <c r="F80" s="105">
        <v>30</v>
      </c>
      <c r="G80" s="106"/>
      <c r="H80" s="329">
        <v>30</v>
      </c>
      <c r="I80" s="329"/>
      <c r="J80" s="3">
        <v>147</v>
      </c>
      <c r="K80" s="3">
        <f>F80*J80/1000</f>
        <v>4.41</v>
      </c>
    </row>
    <row r="81" spans="1:11">
      <c r="A81" s="53"/>
      <c r="B81" s="53"/>
      <c r="F81" s="336" t="s">
        <v>109</v>
      </c>
      <c r="G81" s="336"/>
      <c r="H81" s="332">
        <v>20</v>
      </c>
      <c r="I81" s="332"/>
    </row>
    <row r="83" spans="1:11">
      <c r="A83" s="53"/>
      <c r="B83" s="53"/>
      <c r="C83" s="107" t="s">
        <v>137</v>
      </c>
      <c r="D83" s="53">
        <v>170</v>
      </c>
      <c r="F83" s="108" t="s">
        <v>100</v>
      </c>
      <c r="G83" s="108" t="s">
        <v>101</v>
      </c>
      <c r="H83" s="333"/>
      <c r="I83" s="333"/>
      <c r="K83" s="44">
        <f>K84+K85+K86+K87+K88+K89+K90+K91+K92+K93+K94</f>
        <v>51.075775000000007</v>
      </c>
    </row>
    <row r="84" spans="1:11">
      <c r="A84" s="53"/>
      <c r="B84" s="53"/>
      <c r="E84" s="109" t="s">
        <v>138</v>
      </c>
      <c r="F84" s="110">
        <v>158.1</v>
      </c>
      <c r="G84" s="110">
        <v>158.1</v>
      </c>
      <c r="H84" s="370"/>
      <c r="I84" s="329"/>
      <c r="J84" s="3">
        <v>260</v>
      </c>
      <c r="K84" s="3">
        <f t="shared" ref="K84:K94" si="3">J84*F84/1000</f>
        <v>41.106000000000002</v>
      </c>
    </row>
    <row r="85" spans="1:11">
      <c r="A85" s="53"/>
      <c r="B85" s="53"/>
      <c r="E85" s="109" t="s">
        <v>118</v>
      </c>
      <c r="F85" s="110">
        <v>5.9</v>
      </c>
      <c r="G85" s="110">
        <v>5.9</v>
      </c>
      <c r="H85" s="370"/>
      <c r="I85" s="329"/>
      <c r="J85" s="3">
        <v>200</v>
      </c>
      <c r="K85" s="3">
        <f t="shared" si="3"/>
        <v>1.18</v>
      </c>
    </row>
    <row r="86" spans="1:11">
      <c r="A86" s="53"/>
      <c r="B86" s="53"/>
      <c r="E86" s="109" t="s">
        <v>139</v>
      </c>
      <c r="F86" s="110">
        <v>4.9800000000000004</v>
      </c>
      <c r="G86" s="110">
        <v>4.54</v>
      </c>
      <c r="H86" s="370"/>
      <c r="I86" s="329"/>
      <c r="J86" s="111">
        <v>140</v>
      </c>
      <c r="K86" s="3">
        <f t="shared" si="3"/>
        <v>0.69720000000000004</v>
      </c>
    </row>
    <row r="87" spans="1:11">
      <c r="A87" s="53"/>
      <c r="B87" s="53"/>
      <c r="E87" s="109" t="s">
        <v>37</v>
      </c>
      <c r="F87" s="110">
        <v>11</v>
      </c>
      <c r="G87" s="110">
        <v>11</v>
      </c>
      <c r="H87" s="371"/>
      <c r="I87" s="372"/>
      <c r="J87" s="111">
        <v>40</v>
      </c>
      <c r="K87" s="3">
        <f t="shared" si="3"/>
        <v>0.44</v>
      </c>
    </row>
    <row r="88" spans="1:11">
      <c r="A88" s="53"/>
      <c r="B88" s="53"/>
      <c r="E88" s="109" t="s">
        <v>125</v>
      </c>
      <c r="F88" s="110">
        <v>11</v>
      </c>
      <c r="G88" s="110">
        <v>11</v>
      </c>
      <c r="H88" s="370"/>
      <c r="I88" s="329"/>
      <c r="J88" s="3">
        <v>72.27</v>
      </c>
      <c r="K88" s="3">
        <f t="shared" si="3"/>
        <v>0.79496999999999995</v>
      </c>
    </row>
    <row r="89" spans="1:11">
      <c r="A89" s="53"/>
      <c r="B89" s="53"/>
      <c r="E89" s="109" t="s">
        <v>4</v>
      </c>
      <c r="F89" s="110">
        <v>5.9</v>
      </c>
      <c r="G89" s="110">
        <v>5.9</v>
      </c>
      <c r="H89" s="370"/>
      <c r="I89" s="329"/>
      <c r="J89" s="3">
        <v>174</v>
      </c>
      <c r="K89" s="3">
        <f t="shared" si="3"/>
        <v>1.0266000000000002</v>
      </c>
    </row>
    <row r="90" spans="1:11">
      <c r="E90" s="109" t="s">
        <v>105</v>
      </c>
      <c r="F90" s="110">
        <v>5.9</v>
      </c>
      <c r="G90" s="110">
        <v>5.9</v>
      </c>
      <c r="H90" s="370"/>
      <c r="I90" s="329"/>
      <c r="J90" s="3">
        <v>497.15</v>
      </c>
      <c r="K90" s="3">
        <f t="shared" si="3"/>
        <v>2.9331849999999999</v>
      </c>
    </row>
    <row r="91" spans="1:11">
      <c r="E91" s="109" t="s">
        <v>124</v>
      </c>
      <c r="F91" s="110">
        <v>0.46</v>
      </c>
      <c r="G91" s="110">
        <v>0.46</v>
      </c>
      <c r="H91" s="370"/>
      <c r="I91" s="329"/>
      <c r="J91" s="3">
        <v>17</v>
      </c>
      <c r="K91" s="3">
        <f t="shared" si="3"/>
        <v>7.8200000000000006E-3</v>
      </c>
    </row>
    <row r="92" spans="1:11">
      <c r="E92" s="109" t="s">
        <v>104</v>
      </c>
      <c r="F92" s="110">
        <v>40.799999999999997</v>
      </c>
      <c r="G92" s="110">
        <v>40.799999999999997</v>
      </c>
      <c r="H92" s="370"/>
      <c r="I92" s="329"/>
      <c r="J92" s="3">
        <v>0</v>
      </c>
      <c r="K92" s="3">
        <f t="shared" si="3"/>
        <v>0</v>
      </c>
    </row>
    <row r="93" spans="1:11">
      <c r="E93" s="109" t="s">
        <v>140</v>
      </c>
      <c r="F93" s="110">
        <v>0.05</v>
      </c>
      <c r="G93" s="110">
        <v>0.05</v>
      </c>
      <c r="H93" s="370"/>
      <c r="I93" s="329"/>
      <c r="J93" s="112"/>
      <c r="K93" s="3">
        <f t="shared" si="3"/>
        <v>0</v>
      </c>
    </row>
    <row r="94" spans="1:11">
      <c r="E94" s="97" t="s">
        <v>127</v>
      </c>
      <c r="F94" s="341">
        <v>170</v>
      </c>
      <c r="G94" s="341"/>
      <c r="H94" s="370"/>
      <c r="I94" s="329"/>
      <c r="J94" s="3">
        <v>17</v>
      </c>
      <c r="K94" s="3">
        <f t="shared" si="3"/>
        <v>2.89</v>
      </c>
    </row>
    <row r="95" spans="1:11">
      <c r="E95" s="113"/>
      <c r="F95" s="368"/>
      <c r="G95" s="368"/>
      <c r="H95" s="332"/>
      <c r="I95" s="332"/>
    </row>
    <row r="97" spans="1:26">
      <c r="C97" s="51" t="s">
        <v>141</v>
      </c>
      <c r="D97" s="53">
        <v>200</v>
      </c>
      <c r="F97" s="333" t="s">
        <v>100</v>
      </c>
      <c r="G97" s="333"/>
      <c r="H97" s="333" t="s">
        <v>101</v>
      </c>
      <c r="I97" s="333"/>
      <c r="K97" s="44">
        <f>K98+K99</f>
        <v>1.4740500000000001</v>
      </c>
    </row>
    <row r="98" spans="1:26">
      <c r="E98" s="61" t="s">
        <v>8</v>
      </c>
      <c r="F98" s="62">
        <v>0.6</v>
      </c>
      <c r="G98" s="63"/>
      <c r="H98" s="329">
        <v>0.6</v>
      </c>
      <c r="I98" s="329"/>
      <c r="J98" s="3">
        <v>650</v>
      </c>
      <c r="K98" s="3">
        <f>F98*J98/1000</f>
        <v>0.39</v>
      </c>
    </row>
    <row r="99" spans="1:26">
      <c r="E99" s="64" t="s">
        <v>107</v>
      </c>
      <c r="F99" s="67">
        <v>15</v>
      </c>
      <c r="G99" s="68"/>
      <c r="H99" s="330">
        <v>15</v>
      </c>
      <c r="I99" s="331"/>
      <c r="J99" s="3">
        <v>72.27</v>
      </c>
      <c r="K99" s="3">
        <f>F99*J99/1000</f>
        <v>1.08405</v>
      </c>
    </row>
    <row r="100" spans="1:26">
      <c r="E100" s="70" t="s">
        <v>108</v>
      </c>
      <c r="F100" s="336" t="s">
        <v>109</v>
      </c>
      <c r="G100" s="336"/>
      <c r="H100" s="332">
        <v>200</v>
      </c>
      <c r="I100" s="332"/>
    </row>
    <row r="102" spans="1:26">
      <c r="C102" s="51" t="s">
        <v>142</v>
      </c>
      <c r="D102" s="53">
        <v>40</v>
      </c>
      <c r="J102" s="3">
        <v>54.14</v>
      </c>
      <c r="K102" s="44">
        <f>D102*J102/1000</f>
        <v>2.1656</v>
      </c>
    </row>
    <row r="103" spans="1:26" ht="16.5" thickBot="1">
      <c r="A103" s="81"/>
      <c r="B103" s="81"/>
      <c r="C103" s="81"/>
      <c r="D103" s="82"/>
      <c r="E103" s="82"/>
      <c r="F103" s="82"/>
      <c r="G103" s="82"/>
      <c r="H103" s="82"/>
      <c r="I103" s="82"/>
      <c r="J103" s="83"/>
      <c r="K103" s="83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spans="1:26">
      <c r="A104" s="51" t="s">
        <v>22</v>
      </c>
      <c r="B104" s="51" t="s">
        <v>71</v>
      </c>
      <c r="C104" s="51" t="s">
        <v>143</v>
      </c>
      <c r="D104" s="53">
        <v>100</v>
      </c>
      <c r="J104" s="114">
        <v>200</v>
      </c>
      <c r="K104" s="115">
        <f>D104*J104/1000</f>
        <v>20</v>
      </c>
    </row>
    <row r="105" spans="1:26">
      <c r="A105" s="51" t="s">
        <v>144</v>
      </c>
      <c r="B105" s="116">
        <f>K107+K104+K118+K124+K130</f>
        <v>70.610643999999994</v>
      </c>
    </row>
    <row r="106" spans="1:26">
      <c r="B106" s="51">
        <f>D104+D107+D118+D124+D130</f>
        <v>490</v>
      </c>
    </row>
    <row r="107" spans="1:26">
      <c r="A107" s="53"/>
      <c r="B107" s="53"/>
      <c r="C107" s="51" t="s">
        <v>329</v>
      </c>
      <c r="F107" s="333" t="s">
        <v>100</v>
      </c>
      <c r="G107" s="333"/>
      <c r="H107" s="333" t="s">
        <v>101</v>
      </c>
      <c r="I107" s="333"/>
      <c r="K107" s="196">
        <f>SUM(K109:K115)</f>
        <v>41.181443999999999</v>
      </c>
      <c r="L107" s="220"/>
      <c r="M107" s="220"/>
    </row>
    <row r="108" spans="1:26">
      <c r="A108" s="53"/>
      <c r="B108" s="53"/>
      <c r="E108" s="199"/>
      <c r="F108" s="329"/>
      <c r="G108" s="329"/>
      <c r="H108" s="197"/>
      <c r="I108" s="198"/>
      <c r="K108" s="3">
        <f t="shared" ref="K108:K115" si="4">J108/1000*F108</f>
        <v>0</v>
      </c>
      <c r="L108" s="229"/>
      <c r="M108" s="229"/>
    </row>
    <row r="109" spans="1:26">
      <c r="A109" s="53"/>
      <c r="B109" s="53"/>
      <c r="E109" s="200" t="s">
        <v>330</v>
      </c>
      <c r="F109" s="334">
        <v>127.8</v>
      </c>
      <c r="G109" s="335"/>
      <c r="H109" s="327">
        <v>91.8</v>
      </c>
      <c r="I109" s="328"/>
      <c r="J109" s="3">
        <v>298.98</v>
      </c>
      <c r="K109" s="3">
        <f t="shared" si="4"/>
        <v>38.209644000000004</v>
      </c>
      <c r="L109" s="229"/>
      <c r="M109" s="229"/>
    </row>
    <row r="110" spans="1:26">
      <c r="A110" s="53"/>
      <c r="B110" s="53"/>
      <c r="E110" s="200" t="s">
        <v>5</v>
      </c>
      <c r="F110" s="327">
        <v>10.8</v>
      </c>
      <c r="G110" s="328"/>
      <c r="H110" s="327">
        <v>10.8</v>
      </c>
      <c r="I110" s="328"/>
      <c r="J110" s="3">
        <v>152</v>
      </c>
      <c r="K110" s="3">
        <f t="shared" si="4"/>
        <v>1.6416000000000002</v>
      </c>
      <c r="L110" s="229"/>
      <c r="M110" s="229"/>
    </row>
    <row r="111" spans="1:26">
      <c r="A111" s="53"/>
      <c r="B111" s="53"/>
      <c r="E111" s="200" t="s">
        <v>331</v>
      </c>
      <c r="F111" s="327">
        <v>16.2</v>
      </c>
      <c r="G111" s="328"/>
      <c r="H111" s="327">
        <v>16.2</v>
      </c>
      <c r="I111" s="328"/>
      <c r="J111" s="3">
        <v>20</v>
      </c>
      <c r="K111" s="3">
        <f t="shared" si="4"/>
        <v>0.32400000000000001</v>
      </c>
      <c r="L111" s="229"/>
      <c r="M111" s="229"/>
    </row>
    <row r="112" spans="1:26">
      <c r="A112" s="53"/>
      <c r="B112" s="53"/>
      <c r="E112" s="200" t="s">
        <v>332</v>
      </c>
      <c r="F112" s="327">
        <v>5.4</v>
      </c>
      <c r="G112" s="328"/>
      <c r="H112" s="327">
        <v>5.4</v>
      </c>
      <c r="I112" s="328"/>
      <c r="J112" s="3">
        <v>37</v>
      </c>
      <c r="K112" s="3">
        <f t="shared" si="4"/>
        <v>0.19980000000000001</v>
      </c>
      <c r="L112" s="229"/>
      <c r="M112" s="229"/>
    </row>
    <row r="113" spans="1:13">
      <c r="A113" s="53"/>
      <c r="B113" s="53"/>
      <c r="E113" s="200" t="s">
        <v>333</v>
      </c>
      <c r="F113" s="327">
        <v>5.4</v>
      </c>
      <c r="G113" s="328"/>
      <c r="H113" s="327">
        <v>5.4</v>
      </c>
      <c r="I113" s="328"/>
      <c r="J113" s="3">
        <v>138</v>
      </c>
      <c r="K113" s="3">
        <f t="shared" si="4"/>
        <v>0.74520000000000008</v>
      </c>
      <c r="L113" s="229"/>
      <c r="M113" s="229"/>
    </row>
    <row r="114" spans="1:13">
      <c r="A114" s="53"/>
      <c r="B114" s="53"/>
      <c r="E114" s="200" t="s">
        <v>334</v>
      </c>
      <c r="F114" s="327">
        <v>3.6</v>
      </c>
      <c r="G114" s="328"/>
      <c r="H114" s="327">
        <v>3.6</v>
      </c>
      <c r="I114" s="328"/>
      <c r="J114" s="3">
        <v>17</v>
      </c>
      <c r="K114" s="3">
        <f t="shared" si="4"/>
        <v>6.1200000000000004E-2</v>
      </c>
      <c r="L114" s="229"/>
      <c r="M114" s="229"/>
    </row>
    <row r="115" spans="1:13">
      <c r="A115" s="53"/>
      <c r="B115" s="53"/>
      <c r="E115" s="201" t="s">
        <v>127</v>
      </c>
      <c r="F115" s="330">
        <v>90</v>
      </c>
      <c r="G115" s="369"/>
      <c r="H115" s="369"/>
      <c r="I115" s="331"/>
      <c r="K115" s="3">
        <f t="shared" si="4"/>
        <v>0</v>
      </c>
      <c r="L115" s="229"/>
      <c r="M115" s="229"/>
    </row>
    <row r="116" spans="1:13">
      <c r="A116" s="53"/>
      <c r="B116" s="53"/>
      <c r="E116" s="70"/>
      <c r="F116" s="117"/>
      <c r="G116" s="118"/>
      <c r="H116" s="332"/>
      <c r="I116" s="332"/>
    </row>
    <row r="118" spans="1:13">
      <c r="A118" s="53"/>
      <c r="B118" s="53"/>
      <c r="C118" s="51" t="s">
        <v>148</v>
      </c>
      <c r="D118" s="53">
        <v>150</v>
      </c>
      <c r="F118" s="333" t="s">
        <v>100</v>
      </c>
      <c r="G118" s="333"/>
      <c r="H118" s="333" t="s">
        <v>101</v>
      </c>
      <c r="I118" s="333"/>
      <c r="K118" s="115">
        <f>SUM(K119:K121)</f>
        <v>4.8765499999999999</v>
      </c>
    </row>
    <row r="119" spans="1:13">
      <c r="A119" s="53"/>
      <c r="B119" s="53"/>
      <c r="E119" s="61" t="s">
        <v>13</v>
      </c>
      <c r="F119" s="62">
        <v>52</v>
      </c>
      <c r="G119" s="63"/>
      <c r="H119" s="329">
        <v>52</v>
      </c>
      <c r="I119" s="329"/>
      <c r="J119" s="3">
        <v>65</v>
      </c>
      <c r="K119" s="3">
        <f>F119*J119/1000</f>
        <v>3.38</v>
      </c>
    </row>
    <row r="120" spans="1:13">
      <c r="A120" s="53"/>
      <c r="B120" s="53"/>
      <c r="E120" s="61" t="s">
        <v>106</v>
      </c>
      <c r="F120" s="65">
        <v>0.3</v>
      </c>
      <c r="G120" s="66"/>
      <c r="H120" s="329">
        <v>0.3</v>
      </c>
      <c r="I120" s="329"/>
      <c r="J120" s="3">
        <v>17</v>
      </c>
      <c r="K120" s="3">
        <f>F120*J120/1000</f>
        <v>5.0999999999999995E-3</v>
      </c>
    </row>
    <row r="121" spans="1:13">
      <c r="A121" s="53"/>
      <c r="B121" s="53"/>
      <c r="E121" s="61" t="s">
        <v>105</v>
      </c>
      <c r="F121" s="67">
        <v>3</v>
      </c>
      <c r="G121" s="68"/>
      <c r="H121" s="329">
        <v>3</v>
      </c>
      <c r="I121" s="329"/>
      <c r="J121" s="3">
        <v>497.15</v>
      </c>
      <c r="K121" s="3">
        <f>F121*J121/1000</f>
        <v>1.4914499999999997</v>
      </c>
    </row>
    <row r="122" spans="1:13">
      <c r="E122" s="70" t="s">
        <v>108</v>
      </c>
      <c r="F122" s="117" t="s">
        <v>109</v>
      </c>
      <c r="G122" s="118"/>
      <c r="H122" s="332">
        <v>150</v>
      </c>
      <c r="I122" s="332"/>
    </row>
    <row r="124" spans="1:13">
      <c r="C124" s="51" t="s">
        <v>149</v>
      </c>
      <c r="D124" s="53">
        <v>200</v>
      </c>
      <c r="F124" s="333" t="s">
        <v>100</v>
      </c>
      <c r="G124" s="333"/>
      <c r="H124" s="333" t="s">
        <v>101</v>
      </c>
      <c r="I124" s="333"/>
      <c r="K124" s="115">
        <f>SUM(K125:K127)</f>
        <v>2.5490500000000003</v>
      </c>
    </row>
    <row r="125" spans="1:13">
      <c r="E125" s="61" t="s">
        <v>8</v>
      </c>
      <c r="F125" s="62">
        <v>0.6</v>
      </c>
      <c r="G125" s="63"/>
      <c r="H125" s="329">
        <v>0.6</v>
      </c>
      <c r="I125" s="329"/>
      <c r="J125" s="3">
        <v>650</v>
      </c>
      <c r="K125" s="3">
        <f>F125*J125/1000</f>
        <v>0.39</v>
      </c>
    </row>
    <row r="126" spans="1:13">
      <c r="E126" s="64" t="s">
        <v>107</v>
      </c>
      <c r="F126" s="65">
        <v>15</v>
      </c>
      <c r="G126" s="66"/>
      <c r="H126" s="330">
        <v>15</v>
      </c>
      <c r="I126" s="331"/>
      <c r="J126" s="3">
        <v>72.27</v>
      </c>
      <c r="K126" s="3">
        <f>F126*J126/1000</f>
        <v>1.08405</v>
      </c>
    </row>
    <row r="127" spans="1:13">
      <c r="E127" s="64" t="s">
        <v>150</v>
      </c>
      <c r="F127" s="67">
        <v>5</v>
      </c>
      <c r="G127" s="68"/>
      <c r="H127" s="330">
        <v>4</v>
      </c>
      <c r="I127" s="331"/>
      <c r="J127" s="3">
        <v>215</v>
      </c>
      <c r="K127" s="3">
        <f>F127*J127/1000</f>
        <v>1.075</v>
      </c>
    </row>
    <row r="128" spans="1:13">
      <c r="E128" s="70" t="s">
        <v>108</v>
      </c>
      <c r="F128" s="336" t="s">
        <v>109</v>
      </c>
      <c r="G128" s="336"/>
      <c r="H128" s="336" t="s">
        <v>151</v>
      </c>
      <c r="I128" s="336"/>
    </row>
    <row r="130" spans="1:26">
      <c r="C130" s="51" t="s">
        <v>112</v>
      </c>
      <c r="D130" s="53">
        <v>40</v>
      </c>
      <c r="J130" s="3">
        <v>50.09</v>
      </c>
      <c r="K130" s="115">
        <f>J130*D130/1000</f>
        <v>2.0036</v>
      </c>
    </row>
    <row r="131" spans="1:26" ht="16.5" thickBot="1">
      <c r="A131" s="81"/>
      <c r="B131" s="81"/>
      <c r="C131" s="81"/>
      <c r="D131" s="82"/>
      <c r="E131" s="82"/>
      <c r="F131" s="82"/>
      <c r="G131" s="82"/>
      <c r="H131" s="82"/>
      <c r="I131" s="82"/>
      <c r="J131" s="83"/>
      <c r="K131" s="83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spans="1:26">
      <c r="A132" s="51" t="s">
        <v>23</v>
      </c>
      <c r="B132" s="51" t="s">
        <v>71</v>
      </c>
      <c r="C132" s="86"/>
      <c r="D132" s="87"/>
      <c r="E132" s="87"/>
      <c r="F132" s="367"/>
      <c r="G132" s="367"/>
      <c r="H132" s="367"/>
      <c r="I132" s="367"/>
      <c r="J132" s="31"/>
      <c r="K132" s="114"/>
    </row>
    <row r="133" spans="1:26">
      <c r="A133" s="51" t="s">
        <v>152</v>
      </c>
      <c r="B133" s="119">
        <f>K133+K138+K140+K149+K151+K153</f>
        <v>48.842750999999993</v>
      </c>
      <c r="C133" s="123" t="s">
        <v>337</v>
      </c>
      <c r="D133" s="124">
        <v>40</v>
      </c>
      <c r="E133" s="124"/>
      <c r="F133" s="124">
        <v>42</v>
      </c>
      <c r="G133" s="124"/>
      <c r="H133" s="124"/>
      <c r="I133" s="124"/>
      <c r="J133" s="111">
        <v>100</v>
      </c>
      <c r="K133" s="228">
        <f>J133*F133/1000</f>
        <v>4.2</v>
      </c>
    </row>
    <row r="134" spans="1:26">
      <c r="B134" s="51">
        <f>D133+D138+D140+D151+D149+D153</f>
        <v>580</v>
      </c>
      <c r="C134" s="86"/>
      <c r="D134" s="87"/>
      <c r="E134" s="120"/>
      <c r="F134" s="364"/>
      <c r="G134" s="364"/>
      <c r="H134" s="365"/>
      <c r="I134" s="365"/>
      <c r="J134" s="31"/>
      <c r="K134" s="31"/>
    </row>
    <row r="135" spans="1:26" hidden="1">
      <c r="F135" s="366"/>
      <c r="G135" s="366"/>
      <c r="H135" s="366"/>
      <c r="I135" s="366"/>
    </row>
    <row r="136" spans="1:26" hidden="1">
      <c r="E136" s="121"/>
      <c r="F136" s="363"/>
      <c r="G136" s="363"/>
      <c r="K136" s="122">
        <f>F136*J136/1000</f>
        <v>0</v>
      </c>
    </row>
    <row r="137" spans="1:26" hidden="1">
      <c r="F137" s="366"/>
      <c r="G137" s="366"/>
      <c r="H137" s="366"/>
      <c r="I137" s="366"/>
    </row>
    <row r="138" spans="1:26" hidden="1">
      <c r="A138" s="53"/>
      <c r="B138" s="53"/>
      <c r="C138" s="123"/>
      <c r="D138" s="124"/>
      <c r="E138" s="121"/>
      <c r="F138" s="363"/>
      <c r="G138" s="363"/>
      <c r="H138" s="363"/>
      <c r="I138" s="363"/>
      <c r="K138" s="122"/>
    </row>
    <row r="140" spans="1:26">
      <c r="A140" s="53"/>
      <c r="B140" s="53"/>
      <c r="C140" s="51" t="s">
        <v>153</v>
      </c>
      <c r="D140" s="53">
        <v>200</v>
      </c>
      <c r="F140" s="333" t="s">
        <v>100</v>
      </c>
      <c r="G140" s="333"/>
      <c r="H140" s="333" t="s">
        <v>101</v>
      </c>
      <c r="I140" s="333"/>
      <c r="K140" s="122">
        <f>SUM(K141:K146)</f>
        <v>34.286700999999994</v>
      </c>
    </row>
    <row r="141" spans="1:26">
      <c r="A141" s="53"/>
      <c r="B141" s="53"/>
      <c r="E141" s="61" t="s">
        <v>154</v>
      </c>
      <c r="F141" s="62">
        <v>137.94</v>
      </c>
      <c r="G141" s="63"/>
      <c r="H141" s="329">
        <f>F141</f>
        <v>137.94</v>
      </c>
      <c r="I141" s="329"/>
      <c r="J141" s="3">
        <v>140</v>
      </c>
      <c r="K141" s="3">
        <f t="shared" ref="K141:K146" si="5">F141*J141/1000</f>
        <v>19.311599999999999</v>
      </c>
    </row>
    <row r="142" spans="1:26">
      <c r="A142" s="53"/>
      <c r="B142" s="53"/>
      <c r="E142" s="64" t="s">
        <v>103</v>
      </c>
      <c r="F142" s="65">
        <v>51.72</v>
      </c>
      <c r="G142" s="66"/>
      <c r="H142" s="329">
        <f>F142</f>
        <v>51.72</v>
      </c>
      <c r="I142" s="329"/>
      <c r="J142" s="3">
        <v>57.5</v>
      </c>
      <c r="K142" s="3">
        <f t="shared" si="5"/>
        <v>2.9739</v>
      </c>
    </row>
    <row r="143" spans="1:26">
      <c r="A143" s="53"/>
      <c r="B143" s="53"/>
      <c r="E143" s="64" t="s">
        <v>105</v>
      </c>
      <c r="F143" s="65">
        <v>6.9</v>
      </c>
      <c r="G143" s="66"/>
      <c r="H143" s="329">
        <f>F143</f>
        <v>6.9</v>
      </c>
      <c r="I143" s="329"/>
      <c r="J143" s="3">
        <v>497.15</v>
      </c>
      <c r="K143" s="3">
        <f t="shared" si="5"/>
        <v>3.4303349999999999</v>
      </c>
    </row>
    <row r="144" spans="1:26">
      <c r="A144" s="53"/>
      <c r="B144" s="53"/>
      <c r="E144" s="64" t="s">
        <v>116</v>
      </c>
      <c r="F144" s="65">
        <v>51.72</v>
      </c>
      <c r="G144" s="66"/>
      <c r="H144" s="329">
        <f>F144</f>
        <v>51.72</v>
      </c>
      <c r="I144" s="329"/>
      <c r="K144" s="3">
        <f t="shared" si="5"/>
        <v>0</v>
      </c>
    </row>
    <row r="145" spans="1:11">
      <c r="A145" s="53"/>
      <c r="B145" s="53"/>
      <c r="E145" s="64" t="s">
        <v>105</v>
      </c>
      <c r="F145" s="125">
        <v>17.239999999999998</v>
      </c>
      <c r="G145" s="126"/>
      <c r="H145" s="329">
        <f>F145</f>
        <v>17.239999999999998</v>
      </c>
      <c r="I145" s="329"/>
      <c r="J145" s="3">
        <v>497.15</v>
      </c>
      <c r="K145" s="3">
        <f t="shared" si="5"/>
        <v>8.5708659999999988</v>
      </c>
    </row>
    <row r="146" spans="1:11">
      <c r="A146" s="53"/>
      <c r="B146" s="53"/>
      <c r="E146" s="61"/>
      <c r="F146" s="329"/>
      <c r="G146" s="329"/>
      <c r="H146" s="329"/>
      <c r="I146" s="329"/>
      <c r="K146" s="3">
        <f t="shared" si="5"/>
        <v>0</v>
      </c>
    </row>
    <row r="147" spans="1:11">
      <c r="A147" s="53"/>
      <c r="B147" s="53"/>
      <c r="E147" s="70" t="s">
        <v>108</v>
      </c>
      <c r="F147" s="336" t="s">
        <v>109</v>
      </c>
      <c r="G147" s="336"/>
      <c r="H147" s="332">
        <v>200</v>
      </c>
      <c r="I147" s="332"/>
    </row>
    <row r="148" spans="1:11">
      <c r="A148" s="53"/>
      <c r="B148" s="53"/>
      <c r="F148" s="333" t="s">
        <v>100</v>
      </c>
      <c r="G148" s="333"/>
      <c r="H148" s="333" t="s">
        <v>101</v>
      </c>
      <c r="I148" s="333"/>
    </row>
    <row r="149" spans="1:11">
      <c r="A149" s="53"/>
      <c r="B149" s="53"/>
      <c r="C149" s="51" t="s">
        <v>155</v>
      </c>
      <c r="D149" s="53">
        <v>100</v>
      </c>
      <c r="E149" s="61" t="s">
        <v>50</v>
      </c>
      <c r="F149" s="62">
        <v>100</v>
      </c>
      <c r="G149" s="63"/>
      <c r="H149" s="329">
        <v>100</v>
      </c>
      <c r="I149" s="329"/>
      <c r="J149" s="3">
        <v>65</v>
      </c>
      <c r="K149" s="122">
        <f>F149*J149/1000</f>
        <v>6.5</v>
      </c>
    </row>
    <row r="151" spans="1:11">
      <c r="A151" s="53"/>
      <c r="B151" s="53"/>
      <c r="C151" s="51" t="s">
        <v>142</v>
      </c>
      <c r="D151" s="53">
        <v>40</v>
      </c>
      <c r="J151" s="3">
        <v>59.55</v>
      </c>
      <c r="K151" s="122">
        <f>D151*J151/1000</f>
        <v>2.3820000000000001</v>
      </c>
    </row>
    <row r="153" spans="1:11">
      <c r="A153" s="53"/>
      <c r="B153" s="53"/>
      <c r="C153" s="51" t="s">
        <v>141</v>
      </c>
      <c r="D153" s="53">
        <v>200</v>
      </c>
      <c r="F153" s="333" t="s">
        <v>100</v>
      </c>
      <c r="G153" s="333"/>
      <c r="H153" s="333" t="s">
        <v>101</v>
      </c>
      <c r="I153" s="333"/>
      <c r="K153" s="122">
        <f>K154+K155</f>
        <v>1.4740500000000001</v>
      </c>
    </row>
    <row r="154" spans="1:11">
      <c r="E154" s="61" t="s">
        <v>8</v>
      </c>
      <c r="F154" s="62">
        <v>0.6</v>
      </c>
      <c r="G154" s="63"/>
      <c r="H154" s="329">
        <v>0.6</v>
      </c>
      <c r="I154" s="329"/>
      <c r="J154" s="3">
        <v>650</v>
      </c>
      <c r="K154" s="3">
        <f>J154*F154/1000</f>
        <v>0.39</v>
      </c>
    </row>
    <row r="155" spans="1:11">
      <c r="E155" s="64" t="s">
        <v>107</v>
      </c>
      <c r="F155" s="67">
        <v>15</v>
      </c>
      <c r="G155" s="68"/>
      <c r="H155" s="330">
        <v>15</v>
      </c>
      <c r="I155" s="331"/>
      <c r="J155" s="3">
        <v>72.27</v>
      </c>
      <c r="K155" s="3">
        <f>J155*F155/1000</f>
        <v>1.08405</v>
      </c>
    </row>
    <row r="156" spans="1:11">
      <c r="E156" s="70" t="s">
        <v>108</v>
      </c>
      <c r="F156" s="336" t="s">
        <v>109</v>
      </c>
      <c r="G156" s="336"/>
      <c r="H156" s="332">
        <v>200</v>
      </c>
      <c r="I156" s="332"/>
    </row>
    <row r="159" spans="1:11" hidden="1">
      <c r="A159" s="107" t="s">
        <v>24</v>
      </c>
      <c r="B159" s="107" t="s">
        <v>71</v>
      </c>
      <c r="C159" s="107"/>
      <c r="D159" s="127"/>
      <c r="E159" s="127"/>
      <c r="F159" s="127"/>
      <c r="G159" s="127"/>
      <c r="H159" s="127"/>
      <c r="I159" s="127"/>
      <c r="J159" s="112"/>
      <c r="K159" s="112"/>
    </row>
    <row r="160" spans="1:11" hidden="1">
      <c r="A160" s="107" t="s">
        <v>156</v>
      </c>
      <c r="B160" s="128">
        <f>K160+K162+K174+K181+K183</f>
        <v>67.155680000000004</v>
      </c>
      <c r="C160" s="107" t="s">
        <v>157</v>
      </c>
      <c r="D160" s="127"/>
      <c r="E160" s="129" t="s">
        <v>158</v>
      </c>
      <c r="F160" s="361">
        <v>102</v>
      </c>
      <c r="G160" s="361"/>
      <c r="H160" s="361">
        <v>100</v>
      </c>
      <c r="I160" s="361"/>
      <c r="J160" s="112">
        <v>105</v>
      </c>
      <c r="K160" s="112">
        <f>F160*J160/1000</f>
        <v>10.71</v>
      </c>
    </row>
    <row r="161" spans="1:11" hidden="1">
      <c r="A161" s="107"/>
      <c r="B161" s="107"/>
      <c r="C161" s="107"/>
      <c r="D161" s="127"/>
      <c r="E161" s="127"/>
      <c r="F161" s="127"/>
      <c r="G161" s="127"/>
      <c r="H161" s="127"/>
      <c r="I161" s="127"/>
      <c r="J161" s="112"/>
      <c r="K161" s="112"/>
    </row>
    <row r="162" spans="1:11" hidden="1">
      <c r="A162" s="107"/>
      <c r="B162" s="107"/>
      <c r="C162" s="107" t="s">
        <v>159</v>
      </c>
      <c r="D162" s="127">
        <v>90</v>
      </c>
      <c r="E162" s="127"/>
      <c r="F162" s="362" t="s">
        <v>100</v>
      </c>
      <c r="G162" s="362"/>
      <c r="H162" s="362" t="s">
        <v>101</v>
      </c>
      <c r="I162" s="362"/>
      <c r="J162" s="112"/>
      <c r="K162" s="112">
        <f>SUM(K163:K171)</f>
        <v>38.222900000000003</v>
      </c>
    </row>
    <row r="163" spans="1:11" hidden="1">
      <c r="A163" s="107"/>
      <c r="B163" s="107"/>
      <c r="C163" s="107"/>
      <c r="D163" s="127"/>
      <c r="E163" s="129" t="s">
        <v>145</v>
      </c>
      <c r="F163" s="361">
        <f>50*H172/90</f>
        <v>50</v>
      </c>
      <c r="G163" s="361"/>
      <c r="H163" s="361">
        <f>42*H172/90</f>
        <v>42</v>
      </c>
      <c r="I163" s="361"/>
      <c r="J163" s="112">
        <v>548</v>
      </c>
      <c r="K163" s="112">
        <f t="shared" ref="K163:K171" si="6">F163*J163/1000</f>
        <v>27.4</v>
      </c>
    </row>
    <row r="164" spans="1:11" hidden="1">
      <c r="A164" s="107"/>
      <c r="B164" s="107"/>
      <c r="C164" s="107"/>
      <c r="D164" s="127"/>
      <c r="E164" s="130" t="s">
        <v>160</v>
      </c>
      <c r="F164" s="359">
        <f>24*H172/90</f>
        <v>24</v>
      </c>
      <c r="G164" s="360"/>
      <c r="H164" s="359">
        <f>20*H172/90</f>
        <v>20</v>
      </c>
      <c r="I164" s="360"/>
      <c r="J164" s="112">
        <v>330</v>
      </c>
      <c r="K164" s="112">
        <f t="shared" si="6"/>
        <v>7.92</v>
      </c>
    </row>
    <row r="165" spans="1:11" hidden="1">
      <c r="A165" s="107"/>
      <c r="B165" s="107"/>
      <c r="C165" s="107"/>
      <c r="D165" s="127"/>
      <c r="E165" s="130" t="s">
        <v>161</v>
      </c>
      <c r="F165" s="359">
        <f>13.5*H172/90</f>
        <v>13.5</v>
      </c>
      <c r="G165" s="360"/>
      <c r="H165" s="359">
        <f t="shared" ref="H165:H171" si="7">F165</f>
        <v>13.5</v>
      </c>
      <c r="I165" s="360"/>
      <c r="J165" s="112">
        <v>45.54</v>
      </c>
      <c r="K165" s="112">
        <f t="shared" si="6"/>
        <v>0.61478999999999995</v>
      </c>
    </row>
    <row r="166" spans="1:11" hidden="1">
      <c r="A166" s="107"/>
      <c r="B166" s="107"/>
      <c r="C166" s="107"/>
      <c r="D166" s="127"/>
      <c r="E166" s="130" t="s">
        <v>146</v>
      </c>
      <c r="F166" s="359">
        <f>4*H172/90</f>
        <v>4</v>
      </c>
      <c r="G166" s="360"/>
      <c r="H166" s="359">
        <f t="shared" si="7"/>
        <v>4</v>
      </c>
      <c r="I166" s="360"/>
      <c r="J166" s="112">
        <v>140</v>
      </c>
      <c r="K166" s="112">
        <f t="shared" si="6"/>
        <v>0.56000000000000005</v>
      </c>
    </row>
    <row r="167" spans="1:11" hidden="1">
      <c r="A167" s="107"/>
      <c r="B167" s="107"/>
      <c r="C167" s="107"/>
      <c r="D167" s="127"/>
      <c r="E167" s="130" t="s">
        <v>162</v>
      </c>
      <c r="F167" s="359">
        <f>3.5*H172/90</f>
        <v>3.5</v>
      </c>
      <c r="G167" s="360"/>
      <c r="H167" s="359">
        <f t="shared" si="7"/>
        <v>3.5</v>
      </c>
      <c r="I167" s="360"/>
      <c r="J167" s="112">
        <v>20</v>
      </c>
      <c r="K167" s="112">
        <f t="shared" si="6"/>
        <v>7.0000000000000007E-2</v>
      </c>
    </row>
    <row r="168" spans="1:11" hidden="1">
      <c r="A168" s="107"/>
      <c r="B168" s="107"/>
      <c r="C168" s="107"/>
      <c r="D168" s="127"/>
      <c r="E168" s="130" t="s">
        <v>103</v>
      </c>
      <c r="F168" s="359">
        <f>13*H172/90</f>
        <v>13</v>
      </c>
      <c r="G168" s="360"/>
      <c r="H168" s="359">
        <f t="shared" si="7"/>
        <v>13</v>
      </c>
      <c r="I168" s="360"/>
      <c r="J168" s="112">
        <v>48.17</v>
      </c>
      <c r="K168" s="112">
        <f t="shared" si="6"/>
        <v>0.62621000000000004</v>
      </c>
    </row>
    <row r="169" spans="1:11" hidden="1">
      <c r="A169" s="107"/>
      <c r="B169" s="107"/>
      <c r="C169" s="107"/>
      <c r="D169" s="127"/>
      <c r="E169" s="129" t="s">
        <v>118</v>
      </c>
      <c r="F169" s="361">
        <f>4*H172/90</f>
        <v>4</v>
      </c>
      <c r="G169" s="361"/>
      <c r="H169" s="359">
        <f t="shared" si="7"/>
        <v>4</v>
      </c>
      <c r="I169" s="360"/>
      <c r="J169" s="112">
        <v>150</v>
      </c>
      <c r="K169" s="112">
        <f t="shared" si="6"/>
        <v>0.6</v>
      </c>
    </row>
    <row r="170" spans="1:11" hidden="1">
      <c r="A170" s="107"/>
      <c r="B170" s="107"/>
      <c r="C170" s="107"/>
      <c r="D170" s="127"/>
      <c r="E170" s="129" t="s">
        <v>106</v>
      </c>
      <c r="F170" s="361">
        <f>0.7*H172/90</f>
        <v>0.7</v>
      </c>
      <c r="G170" s="361"/>
      <c r="H170" s="359">
        <f t="shared" si="7"/>
        <v>0.7</v>
      </c>
      <c r="I170" s="360"/>
      <c r="J170" s="112">
        <v>17</v>
      </c>
      <c r="K170" s="112">
        <f t="shared" si="6"/>
        <v>1.1899999999999999E-2</v>
      </c>
    </row>
    <row r="171" spans="1:11" hidden="1">
      <c r="A171" s="107"/>
      <c r="B171" s="107"/>
      <c r="C171" s="107"/>
      <c r="D171" s="127"/>
      <c r="E171" s="130" t="s">
        <v>147</v>
      </c>
      <c r="F171" s="359">
        <f>3*H172/90</f>
        <v>3</v>
      </c>
      <c r="G171" s="360"/>
      <c r="H171" s="359">
        <f t="shared" si="7"/>
        <v>3</v>
      </c>
      <c r="I171" s="360"/>
      <c r="J171" s="112">
        <v>140</v>
      </c>
      <c r="K171" s="112">
        <f t="shared" si="6"/>
        <v>0.42</v>
      </c>
    </row>
    <row r="172" spans="1:11" hidden="1">
      <c r="A172" s="107"/>
      <c r="B172" s="107"/>
      <c r="C172" s="107"/>
      <c r="D172" s="127"/>
      <c r="E172" s="131" t="s">
        <v>108</v>
      </c>
      <c r="F172" s="356" t="s">
        <v>109</v>
      </c>
      <c r="G172" s="356"/>
      <c r="H172" s="357">
        <v>90</v>
      </c>
      <c r="I172" s="357"/>
      <c r="J172" s="112"/>
      <c r="K172" s="112"/>
    </row>
    <row r="173" spans="1:11" hidden="1">
      <c r="A173" s="107"/>
      <c r="B173" s="107"/>
      <c r="C173" s="107"/>
      <c r="D173" s="127"/>
      <c r="E173" s="127"/>
      <c r="F173" s="127"/>
      <c r="G173" s="127"/>
      <c r="H173" s="127"/>
      <c r="I173" s="127"/>
      <c r="J173" s="112"/>
      <c r="K173" s="112"/>
    </row>
    <row r="174" spans="1:11" hidden="1">
      <c r="A174" s="107"/>
      <c r="B174" s="107"/>
      <c r="C174" s="107" t="s">
        <v>163</v>
      </c>
      <c r="D174" s="127">
        <v>150</v>
      </c>
      <c r="E174" s="127"/>
      <c r="F174" s="362" t="s">
        <v>100</v>
      </c>
      <c r="G174" s="362"/>
      <c r="H174" s="362" t="s">
        <v>101</v>
      </c>
      <c r="I174" s="362"/>
      <c r="J174" s="112"/>
      <c r="K174" s="112">
        <f>SUM(K175:K178)</f>
        <v>7.4011799999999992</v>
      </c>
    </row>
    <row r="175" spans="1:11" hidden="1">
      <c r="A175" s="107"/>
      <c r="B175" s="107"/>
      <c r="C175" s="107"/>
      <c r="D175" s="127"/>
      <c r="E175" s="129" t="s">
        <v>164</v>
      </c>
      <c r="F175" s="361">
        <f>170*H179/150</f>
        <v>170</v>
      </c>
      <c r="G175" s="361"/>
      <c r="H175" s="361">
        <f>128*H179/150</f>
        <v>128</v>
      </c>
      <c r="I175" s="361"/>
      <c r="J175" s="112">
        <v>27</v>
      </c>
      <c r="K175" s="112">
        <f>F175*J175/1000</f>
        <v>4.59</v>
      </c>
    </row>
    <row r="176" spans="1:11" hidden="1">
      <c r="A176" s="107"/>
      <c r="B176" s="107"/>
      <c r="C176" s="107"/>
      <c r="D176" s="127"/>
      <c r="E176" s="130" t="s">
        <v>103</v>
      </c>
      <c r="F176" s="359">
        <f>24*H179/150</f>
        <v>24</v>
      </c>
      <c r="G176" s="360"/>
      <c r="H176" s="359">
        <f>24*H179/150</f>
        <v>24</v>
      </c>
      <c r="I176" s="360"/>
      <c r="J176" s="112">
        <v>48.17</v>
      </c>
      <c r="K176" s="112">
        <f>F176*J176/1000</f>
        <v>1.15608</v>
      </c>
    </row>
    <row r="177" spans="1:26" hidden="1">
      <c r="A177" s="107"/>
      <c r="B177" s="107"/>
      <c r="C177" s="107"/>
      <c r="D177" s="127"/>
      <c r="E177" s="130" t="s">
        <v>105</v>
      </c>
      <c r="F177" s="359">
        <f>3*H179/150</f>
        <v>3</v>
      </c>
      <c r="G177" s="360"/>
      <c r="H177" s="359">
        <f>3*H179/150</f>
        <v>3</v>
      </c>
      <c r="I177" s="360"/>
      <c r="J177" s="112">
        <v>550</v>
      </c>
      <c r="K177" s="112">
        <f>F177*J177/1000</f>
        <v>1.65</v>
      </c>
    </row>
    <row r="178" spans="1:26" hidden="1">
      <c r="A178" s="107"/>
      <c r="B178" s="107"/>
      <c r="C178" s="107"/>
      <c r="D178" s="127"/>
      <c r="E178" s="129" t="s">
        <v>106</v>
      </c>
      <c r="F178" s="361">
        <f>0.3*H179/150</f>
        <v>0.3</v>
      </c>
      <c r="G178" s="361"/>
      <c r="H178" s="361">
        <f>0.3*H179/150</f>
        <v>0.3</v>
      </c>
      <c r="I178" s="361"/>
      <c r="J178" s="112">
        <v>17</v>
      </c>
      <c r="K178" s="112">
        <f>F178*J178/1000</f>
        <v>5.0999999999999995E-3</v>
      </c>
    </row>
    <row r="179" spans="1:26" hidden="1">
      <c r="A179" s="107"/>
      <c r="B179" s="107"/>
      <c r="C179" s="107"/>
      <c r="D179" s="127"/>
      <c r="E179" s="131" t="s">
        <v>108</v>
      </c>
      <c r="F179" s="356" t="s">
        <v>109</v>
      </c>
      <c r="G179" s="356"/>
      <c r="H179" s="357">
        <v>150</v>
      </c>
      <c r="I179" s="357"/>
      <c r="J179" s="112"/>
      <c r="K179" s="112"/>
    </row>
    <row r="180" spans="1:26" hidden="1">
      <c r="A180" s="107"/>
      <c r="B180" s="107"/>
      <c r="C180" s="107"/>
      <c r="D180" s="127"/>
      <c r="E180" s="127"/>
      <c r="F180" s="127"/>
      <c r="G180" s="127"/>
      <c r="H180" s="127"/>
      <c r="I180" s="127"/>
      <c r="J180" s="112"/>
      <c r="K180" s="112"/>
    </row>
    <row r="181" spans="1:26" hidden="1">
      <c r="A181" s="107"/>
      <c r="B181" s="107"/>
      <c r="C181" s="107" t="s">
        <v>165</v>
      </c>
      <c r="D181" s="127">
        <v>200</v>
      </c>
      <c r="E181" s="129" t="s">
        <v>166</v>
      </c>
      <c r="F181" s="358">
        <v>200</v>
      </c>
      <c r="G181" s="358"/>
      <c r="H181" s="358">
        <v>200</v>
      </c>
      <c r="I181" s="358"/>
      <c r="J181" s="112">
        <v>45</v>
      </c>
      <c r="K181" s="112">
        <f>F181*J181/1000</f>
        <v>9</v>
      </c>
    </row>
    <row r="182" spans="1:26" hidden="1">
      <c r="A182" s="107"/>
      <c r="B182" s="107"/>
      <c r="C182" s="107"/>
      <c r="D182" s="127"/>
      <c r="E182" s="127"/>
      <c r="F182" s="127"/>
      <c r="G182" s="127"/>
      <c r="H182" s="127"/>
      <c r="I182" s="127"/>
      <c r="J182" s="112"/>
      <c r="K182" s="112"/>
    </row>
    <row r="183" spans="1:26" hidden="1">
      <c r="A183" s="107"/>
      <c r="B183" s="107"/>
      <c r="C183" s="107" t="s">
        <v>112</v>
      </c>
      <c r="D183" s="127">
        <v>40</v>
      </c>
      <c r="E183" s="127"/>
      <c r="F183" s="127"/>
      <c r="G183" s="127"/>
      <c r="H183" s="127"/>
      <c r="I183" s="127"/>
      <c r="J183" s="112">
        <v>45.54</v>
      </c>
      <c r="K183" s="112">
        <f>D183*J183/1000</f>
        <v>1.8215999999999999</v>
      </c>
    </row>
    <row r="184" spans="1:26" ht="16.5" thickBot="1">
      <c r="A184" s="81"/>
      <c r="B184" s="81"/>
      <c r="C184" s="81"/>
      <c r="D184" s="82"/>
      <c r="E184" s="82"/>
      <c r="F184" s="82"/>
      <c r="G184" s="82"/>
      <c r="H184" s="82"/>
      <c r="I184" s="82"/>
      <c r="J184" s="83"/>
      <c r="K184" s="83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 spans="1:26">
      <c r="A185" s="51">
        <v>6</v>
      </c>
      <c r="B185" s="51" t="s">
        <v>71</v>
      </c>
    </row>
    <row r="186" spans="1:26">
      <c r="A186" s="53" t="s">
        <v>95</v>
      </c>
      <c r="B186" s="132">
        <f>K186+K188+K190+K198+K205</f>
        <v>53.598919999999993</v>
      </c>
      <c r="C186" s="51" t="s">
        <v>167</v>
      </c>
      <c r="D186" s="53">
        <v>100</v>
      </c>
      <c r="E186" s="61" t="s">
        <v>168</v>
      </c>
      <c r="F186" s="133">
        <v>100</v>
      </c>
      <c r="G186" s="134"/>
      <c r="H186" s="329">
        <v>100</v>
      </c>
      <c r="I186" s="329"/>
      <c r="J186" s="3">
        <v>140</v>
      </c>
      <c r="K186" s="135">
        <f>F186*J186/1000</f>
        <v>14</v>
      </c>
    </row>
    <row r="187" spans="1:26">
      <c r="B187" s="51">
        <f>D186+D188+D190+D198+D205</f>
        <v>560</v>
      </c>
    </row>
    <row r="188" spans="1:26">
      <c r="A188" s="53"/>
      <c r="C188" s="51" t="s">
        <v>169</v>
      </c>
      <c r="D188" s="53">
        <v>20</v>
      </c>
      <c r="E188" s="61" t="s">
        <v>170</v>
      </c>
      <c r="F188" s="133">
        <v>21</v>
      </c>
      <c r="G188" s="134"/>
      <c r="H188" s="329">
        <v>20</v>
      </c>
      <c r="I188" s="329"/>
      <c r="J188" s="3">
        <v>498</v>
      </c>
      <c r="K188" s="135">
        <f>F188*J188/1000</f>
        <v>10.458</v>
      </c>
    </row>
    <row r="190" spans="1:26">
      <c r="A190" s="53"/>
      <c r="C190" s="51" t="s">
        <v>171</v>
      </c>
      <c r="D190" s="53">
        <v>200</v>
      </c>
      <c r="F190" s="136" t="s">
        <v>100</v>
      </c>
      <c r="G190" s="137"/>
      <c r="H190" s="333" t="s">
        <v>101</v>
      </c>
      <c r="I190" s="333"/>
      <c r="K190" s="135">
        <f>SUM(K191:K195)</f>
        <v>19.177870000000002</v>
      </c>
    </row>
    <row r="191" spans="1:26">
      <c r="A191" s="53"/>
      <c r="E191" s="61" t="s">
        <v>36</v>
      </c>
      <c r="F191" s="62">
        <f>50*H196/200</f>
        <v>50</v>
      </c>
      <c r="G191" s="63"/>
      <c r="H191" s="329">
        <f>F191</f>
        <v>50</v>
      </c>
      <c r="I191" s="329"/>
      <c r="J191" s="3">
        <v>95</v>
      </c>
      <c r="K191" s="3">
        <f>F191*J191/1000</f>
        <v>4.75</v>
      </c>
    </row>
    <row r="192" spans="1:26">
      <c r="A192" s="53"/>
      <c r="E192" s="64" t="s">
        <v>103</v>
      </c>
      <c r="F192" s="65">
        <f>200*H196/200</f>
        <v>200</v>
      </c>
      <c r="G192" s="66"/>
      <c r="H192" s="330">
        <f>F192</f>
        <v>200</v>
      </c>
      <c r="I192" s="331"/>
      <c r="J192" s="3">
        <v>57.5</v>
      </c>
      <c r="K192" s="3">
        <f>F192*J192/1000</f>
        <v>11.5</v>
      </c>
    </row>
    <row r="193" spans="1:26">
      <c r="A193" s="53"/>
      <c r="E193" s="64" t="s">
        <v>107</v>
      </c>
      <c r="F193" s="65">
        <f>6*H196/200</f>
        <v>6</v>
      </c>
      <c r="G193" s="66"/>
      <c r="H193" s="330">
        <f>F193</f>
        <v>6</v>
      </c>
      <c r="I193" s="331"/>
      <c r="J193" s="3">
        <v>72.27</v>
      </c>
      <c r="K193" s="3">
        <f>F193*J193/1000</f>
        <v>0.43362000000000001</v>
      </c>
    </row>
    <row r="194" spans="1:26">
      <c r="A194" s="53"/>
      <c r="E194" s="64" t="s">
        <v>105</v>
      </c>
      <c r="F194" s="65">
        <f>5*H196/200</f>
        <v>5</v>
      </c>
      <c r="G194" s="66"/>
      <c r="H194" s="330">
        <f>F194</f>
        <v>5</v>
      </c>
      <c r="I194" s="331"/>
      <c r="J194" s="3">
        <v>497.15</v>
      </c>
      <c r="K194" s="3">
        <f>F194*J194/1000</f>
        <v>2.4857499999999999</v>
      </c>
    </row>
    <row r="195" spans="1:26">
      <c r="A195" s="53"/>
      <c r="E195" s="61" t="s">
        <v>106</v>
      </c>
      <c r="F195" s="67">
        <f>0.5*H196/200</f>
        <v>0.5</v>
      </c>
      <c r="G195" s="68"/>
      <c r="H195" s="329">
        <f>F195</f>
        <v>0.5</v>
      </c>
      <c r="I195" s="329"/>
      <c r="J195" s="3">
        <v>17</v>
      </c>
      <c r="K195" s="3">
        <f>F195*J195/1000</f>
        <v>8.5000000000000006E-3</v>
      </c>
    </row>
    <row r="196" spans="1:26">
      <c r="A196" s="53"/>
      <c r="E196" s="70" t="s">
        <v>108</v>
      </c>
      <c r="F196" s="117" t="s">
        <v>109</v>
      </c>
      <c r="G196" s="118"/>
      <c r="H196" s="332">
        <v>200</v>
      </c>
      <c r="I196" s="332"/>
      <c r="J196" s="3" t="s">
        <v>172</v>
      </c>
    </row>
    <row r="198" spans="1:26">
      <c r="A198" s="53"/>
      <c r="C198" s="51" t="s">
        <v>130</v>
      </c>
      <c r="D198" s="53">
        <v>200</v>
      </c>
      <c r="F198" s="136" t="s">
        <v>100</v>
      </c>
      <c r="G198" s="137"/>
      <c r="H198" s="333" t="s">
        <v>101</v>
      </c>
      <c r="I198" s="333"/>
      <c r="K198" s="135">
        <f>SUM(K199:K202)</f>
        <v>7.5810500000000003</v>
      </c>
    </row>
    <row r="199" spans="1:26">
      <c r="A199" s="53"/>
      <c r="E199" s="61" t="s">
        <v>131</v>
      </c>
      <c r="F199" s="62">
        <v>4</v>
      </c>
      <c r="G199" s="63"/>
      <c r="H199" s="329">
        <v>4</v>
      </c>
      <c r="I199" s="329"/>
      <c r="J199" s="3">
        <v>420</v>
      </c>
      <c r="K199" s="3">
        <f>J199*F199/1000</f>
        <v>1.68</v>
      </c>
    </row>
    <row r="200" spans="1:26">
      <c r="A200" s="53"/>
      <c r="E200" s="64" t="s">
        <v>107</v>
      </c>
      <c r="F200" s="65">
        <v>15</v>
      </c>
      <c r="G200" s="66"/>
      <c r="H200" s="330">
        <v>15</v>
      </c>
      <c r="I200" s="331"/>
      <c r="J200" s="3">
        <v>72.27</v>
      </c>
      <c r="K200" s="3">
        <f>J200*F200/1000</f>
        <v>1.08405</v>
      </c>
    </row>
    <row r="201" spans="1:26">
      <c r="A201" s="53"/>
      <c r="E201" s="64" t="s">
        <v>65</v>
      </c>
      <c r="F201" s="65">
        <v>100</v>
      </c>
      <c r="G201" s="66"/>
      <c r="H201" s="330">
        <v>100</v>
      </c>
      <c r="I201" s="331"/>
      <c r="J201" s="3">
        <v>48.17</v>
      </c>
      <c r="K201" s="3">
        <f>J201*F201/1000</f>
        <v>4.8170000000000002</v>
      </c>
    </row>
    <row r="202" spans="1:26">
      <c r="E202" s="64" t="s">
        <v>104</v>
      </c>
      <c r="F202" s="67">
        <v>81</v>
      </c>
      <c r="G202" s="68"/>
      <c r="H202" s="330">
        <v>81</v>
      </c>
      <c r="I202" s="331"/>
      <c r="J202" s="3">
        <v>0</v>
      </c>
      <c r="K202" s="3">
        <f>J202*F202/1000</f>
        <v>0</v>
      </c>
    </row>
    <row r="203" spans="1:26">
      <c r="E203" s="70" t="s">
        <v>108</v>
      </c>
      <c r="F203" s="117" t="s">
        <v>109</v>
      </c>
      <c r="G203" s="118"/>
      <c r="H203" s="332">
        <v>200</v>
      </c>
      <c r="I203" s="332"/>
    </row>
    <row r="205" spans="1:26">
      <c r="C205" s="51" t="s">
        <v>142</v>
      </c>
      <c r="D205" s="53">
        <v>40</v>
      </c>
      <c r="J205" s="3">
        <v>59.55</v>
      </c>
      <c r="K205" s="135">
        <f>D205*J205/1000</f>
        <v>2.3820000000000001</v>
      </c>
    </row>
    <row r="206" spans="1:26" ht="16.5" thickBot="1">
      <c r="A206" s="81"/>
      <c r="B206" s="81"/>
      <c r="C206" s="81"/>
      <c r="D206" s="82"/>
      <c r="E206" s="82"/>
      <c r="F206" s="82"/>
      <c r="G206" s="82"/>
      <c r="H206" s="82"/>
      <c r="I206" s="82"/>
      <c r="J206" s="83"/>
      <c r="K206" s="83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 spans="1:26">
      <c r="A207" s="51">
        <v>7</v>
      </c>
      <c r="B207" s="51" t="s">
        <v>71</v>
      </c>
    </row>
    <row r="208" spans="1:26">
      <c r="A208" s="51" t="s">
        <v>113</v>
      </c>
      <c r="B208" s="138">
        <f>K208+K216+K234+K242+K247</f>
        <v>49.973124500000004</v>
      </c>
      <c r="C208" s="168" t="s">
        <v>173</v>
      </c>
      <c r="D208" s="168">
        <v>40</v>
      </c>
      <c r="E208" s="168"/>
      <c r="F208" s="168"/>
      <c r="G208" s="168"/>
      <c r="H208" s="168"/>
      <c r="I208" s="168"/>
      <c r="K208" s="84">
        <f>K209+K210+K211+K212</f>
        <v>2.0425400000000002</v>
      </c>
    </row>
    <row r="209" spans="1:12">
      <c r="B209" s="51">
        <f>D208+D216+D234+D242+D247</f>
        <v>520</v>
      </c>
      <c r="C209" s="167"/>
      <c r="D209" s="168"/>
      <c r="E209" s="169" t="s">
        <v>174</v>
      </c>
      <c r="F209" s="230">
        <v>43</v>
      </c>
      <c r="G209" s="231"/>
      <c r="H209" s="168"/>
      <c r="I209" s="168"/>
      <c r="J209" s="3">
        <v>30</v>
      </c>
      <c r="K209" s="3">
        <f>J209*F209/1000</f>
        <v>1.29</v>
      </c>
    </row>
    <row r="210" spans="1:12">
      <c r="B210" s="52"/>
      <c r="C210" s="167"/>
      <c r="D210" s="168"/>
      <c r="E210" s="169" t="s">
        <v>175</v>
      </c>
      <c r="F210" s="230">
        <v>2</v>
      </c>
      <c r="G210" s="231"/>
      <c r="H210" s="168"/>
      <c r="I210" s="168"/>
      <c r="J210" s="3">
        <v>72.27</v>
      </c>
      <c r="K210" s="3">
        <f>J210*F210/1000</f>
        <v>0.14454</v>
      </c>
    </row>
    <row r="211" spans="1:12">
      <c r="C211" s="167"/>
      <c r="D211" s="168"/>
      <c r="E211" s="169" t="s">
        <v>176</v>
      </c>
      <c r="F211" s="230">
        <v>4</v>
      </c>
      <c r="G211" s="231"/>
      <c r="H211" s="168"/>
      <c r="I211" s="168"/>
      <c r="J211" s="3">
        <v>152</v>
      </c>
      <c r="K211" s="3">
        <f>J211*F211/1000</f>
        <v>0.60799999999999998</v>
      </c>
    </row>
    <row r="212" spans="1:12">
      <c r="C212" s="167"/>
      <c r="D212" s="168"/>
      <c r="E212" s="169"/>
      <c r="F212" s="339"/>
      <c r="G212" s="340"/>
      <c r="H212" s="168"/>
      <c r="I212" s="168"/>
      <c r="K212" s="3">
        <f>J212*F212/1000</f>
        <v>0</v>
      </c>
    </row>
    <row r="213" spans="1:12">
      <c r="C213" s="167"/>
      <c r="D213" s="168"/>
      <c r="E213" s="168"/>
      <c r="F213" s="168"/>
      <c r="G213" s="168"/>
      <c r="H213" s="168"/>
      <c r="I213" s="168"/>
    </row>
    <row r="214" spans="1:12">
      <c r="C214" s="86"/>
      <c r="D214" s="87"/>
      <c r="E214" s="237"/>
      <c r="F214" s="353"/>
      <c r="G214" s="353"/>
      <c r="H214" s="233"/>
      <c r="I214" s="233"/>
      <c r="J214" s="234"/>
      <c r="K214" s="238"/>
      <c r="L214" s="220"/>
    </row>
    <row r="216" spans="1:12" ht="15">
      <c r="A216" s="53"/>
      <c r="B216" s="53"/>
      <c r="C216" s="90" t="s">
        <v>177</v>
      </c>
      <c r="D216" s="53">
        <v>90</v>
      </c>
      <c r="F216" s="344" t="s">
        <v>100</v>
      </c>
      <c r="G216" s="333"/>
      <c r="H216" s="344" t="s">
        <v>101</v>
      </c>
      <c r="I216" s="333"/>
      <c r="K216" s="139">
        <f>SUM(K217:K227)</f>
        <v>40.078084500000003</v>
      </c>
    </row>
    <row r="217" spans="1:12">
      <c r="A217" s="53"/>
      <c r="B217" s="53"/>
      <c r="E217" s="91" t="s">
        <v>115</v>
      </c>
      <c r="F217" s="140">
        <v>65.7</v>
      </c>
      <c r="G217" s="141"/>
      <c r="H217" s="354">
        <v>46.8</v>
      </c>
      <c r="I217" s="355"/>
      <c r="J217" s="3">
        <v>548</v>
      </c>
      <c r="K217" s="3">
        <f>F217*J217/1000</f>
        <v>36.003599999999999</v>
      </c>
    </row>
    <row r="218" spans="1:12">
      <c r="A218" s="53"/>
      <c r="B218" s="53"/>
      <c r="E218" s="91" t="s">
        <v>117</v>
      </c>
      <c r="F218" s="142">
        <v>9.4499999999999993</v>
      </c>
      <c r="G218" s="143"/>
      <c r="H218" s="349">
        <v>9.4499999999999993</v>
      </c>
      <c r="I218" s="350"/>
      <c r="J218" s="3">
        <v>50.09</v>
      </c>
      <c r="K218" s="3">
        <f>F218*J218/1000</f>
        <v>0.47335050000000001</v>
      </c>
    </row>
    <row r="219" spans="1:12">
      <c r="A219" s="53"/>
      <c r="B219" s="53"/>
      <c r="E219" s="91" t="s">
        <v>104</v>
      </c>
      <c r="F219" s="142">
        <v>16.38</v>
      </c>
      <c r="G219" s="143"/>
      <c r="H219" s="349">
        <v>16.38</v>
      </c>
      <c r="I219" s="350"/>
      <c r="J219" s="3">
        <v>0</v>
      </c>
      <c r="K219" s="3">
        <f>F219*J219/1000</f>
        <v>0</v>
      </c>
    </row>
    <row r="220" spans="1:12">
      <c r="A220" s="53"/>
      <c r="B220" s="53"/>
      <c r="E220" s="91" t="s">
        <v>105</v>
      </c>
      <c r="F220" s="142">
        <v>1.8</v>
      </c>
      <c r="G220" s="143"/>
      <c r="H220" s="349">
        <v>1.8</v>
      </c>
      <c r="I220" s="350"/>
      <c r="J220" s="3">
        <v>497.15</v>
      </c>
      <c r="K220" s="3">
        <f>F220*J220/1000</f>
        <v>0.89487000000000005</v>
      </c>
    </row>
    <row r="221" spans="1:12">
      <c r="A221" s="53"/>
      <c r="B221" s="53"/>
      <c r="E221" s="91" t="s">
        <v>119</v>
      </c>
      <c r="F221" s="144" t="s">
        <v>109</v>
      </c>
      <c r="G221" s="145"/>
      <c r="H221" s="351">
        <v>73.8</v>
      </c>
      <c r="I221" s="352"/>
    </row>
    <row r="222" spans="1:12" ht="25.5">
      <c r="A222" s="53"/>
      <c r="B222" s="53"/>
      <c r="E222" s="140" t="s">
        <v>178</v>
      </c>
      <c r="F222" s="91" t="s">
        <v>109</v>
      </c>
      <c r="G222" s="92"/>
      <c r="H222" s="346">
        <v>27</v>
      </c>
      <c r="I222" s="347"/>
    </row>
    <row r="223" spans="1:12">
      <c r="A223" s="53"/>
      <c r="B223" s="53"/>
      <c r="E223" s="91" t="s">
        <v>103</v>
      </c>
      <c r="F223" s="91">
        <v>27</v>
      </c>
      <c r="G223" s="92"/>
      <c r="H223" s="346">
        <v>27</v>
      </c>
      <c r="I223" s="347"/>
      <c r="J223" s="3">
        <v>57.5</v>
      </c>
      <c r="K223" s="3">
        <f>F223*J223/1000</f>
        <v>1.5525</v>
      </c>
    </row>
    <row r="224" spans="1:12">
      <c r="A224" s="53"/>
      <c r="B224" s="53"/>
      <c r="E224" s="91" t="s">
        <v>34</v>
      </c>
      <c r="F224" s="91">
        <v>2.16</v>
      </c>
      <c r="G224" s="92"/>
      <c r="H224" s="346">
        <v>2.16</v>
      </c>
      <c r="I224" s="347"/>
      <c r="J224" s="3">
        <v>37</v>
      </c>
      <c r="K224" s="3">
        <f>F224*J224/1000</f>
        <v>7.9920000000000005E-2</v>
      </c>
    </row>
    <row r="225" spans="1:11">
      <c r="A225" s="53"/>
      <c r="B225" s="53"/>
      <c r="E225" s="91" t="s">
        <v>105</v>
      </c>
      <c r="F225" s="91">
        <v>2.16</v>
      </c>
      <c r="G225" s="92"/>
      <c r="H225" s="346">
        <v>2.16</v>
      </c>
      <c r="I225" s="347"/>
      <c r="J225" s="3">
        <v>497.15</v>
      </c>
      <c r="K225" s="3">
        <f>F225*J225/1000</f>
        <v>1.073844</v>
      </c>
    </row>
    <row r="226" spans="1:11">
      <c r="A226" s="53"/>
      <c r="B226" s="53"/>
      <c r="E226" s="97" t="s">
        <v>127</v>
      </c>
      <c r="F226" s="348">
        <v>90</v>
      </c>
      <c r="G226" s="348"/>
      <c r="H226" s="348"/>
      <c r="I226" s="348"/>
      <c r="K226" s="3">
        <f>F226*J226/1000</f>
        <v>0</v>
      </c>
    </row>
    <row r="227" spans="1:11">
      <c r="A227" s="53"/>
      <c r="B227" s="53"/>
      <c r="E227" s="61"/>
      <c r="F227" s="146"/>
      <c r="G227" s="146"/>
      <c r="H227" s="147"/>
      <c r="I227" s="148"/>
      <c r="K227" s="3">
        <f>F227*J227/1000</f>
        <v>0</v>
      </c>
    </row>
    <row r="228" spans="1:11">
      <c r="A228" s="53"/>
      <c r="B228" s="53"/>
      <c r="E228" s="70"/>
      <c r="F228" s="146"/>
      <c r="G228" s="146"/>
      <c r="H228" s="117"/>
      <c r="I228" s="118"/>
    </row>
    <row r="229" spans="1:11">
      <c r="A229" s="53"/>
      <c r="B229" s="53"/>
      <c r="E229" s="98"/>
      <c r="F229" s="146"/>
      <c r="G229" s="146"/>
      <c r="H229" s="99"/>
      <c r="I229" s="99"/>
    </row>
    <row r="230" spans="1:11">
      <c r="A230" s="53"/>
      <c r="B230" s="53"/>
      <c r="E230" s="98"/>
      <c r="F230" s="146"/>
      <c r="G230" s="146"/>
      <c r="H230" s="99"/>
      <c r="I230" s="99"/>
    </row>
    <row r="231" spans="1:11">
      <c r="A231" s="53"/>
      <c r="B231" s="53"/>
      <c r="E231" s="98"/>
      <c r="F231" s="99"/>
      <c r="G231" s="99"/>
      <c r="H231" s="99"/>
      <c r="I231" s="99"/>
    </row>
    <row r="232" spans="1:11">
      <c r="A232" s="53"/>
      <c r="B232" s="53"/>
      <c r="E232" s="98"/>
      <c r="F232" s="99"/>
      <c r="G232" s="99"/>
      <c r="H232" s="99"/>
      <c r="I232" s="99"/>
    </row>
    <row r="234" spans="1:11">
      <c r="A234" s="53"/>
      <c r="B234" s="53"/>
      <c r="C234" s="51" t="s">
        <v>179</v>
      </c>
      <c r="D234" s="53">
        <v>150</v>
      </c>
      <c r="F234" s="333" t="s">
        <v>100</v>
      </c>
      <c r="G234" s="333"/>
      <c r="H234" s="333" t="s">
        <v>101</v>
      </c>
      <c r="I234" s="333"/>
      <c r="K234" s="139">
        <f>SUM(K235:K239)</f>
        <v>4.4648500000000002</v>
      </c>
    </row>
    <row r="235" spans="1:11">
      <c r="A235" s="53"/>
      <c r="B235" s="53"/>
      <c r="E235" s="61" t="s">
        <v>129</v>
      </c>
      <c r="F235" s="62">
        <v>16</v>
      </c>
      <c r="G235" s="63"/>
      <c r="H235" s="329">
        <v>16</v>
      </c>
      <c r="I235" s="329"/>
      <c r="J235" s="3">
        <v>84</v>
      </c>
      <c r="K235" s="3">
        <f>F235*J235/1000</f>
        <v>1.3440000000000001</v>
      </c>
    </row>
    <row r="236" spans="1:11">
      <c r="E236" s="64" t="s">
        <v>104</v>
      </c>
      <c r="F236" s="65">
        <v>120</v>
      </c>
      <c r="G236" s="66"/>
      <c r="H236" s="330">
        <v>120</v>
      </c>
      <c r="I236" s="331"/>
      <c r="J236" s="3">
        <v>0</v>
      </c>
      <c r="K236" s="3">
        <f>F236*J236/1000</f>
        <v>0</v>
      </c>
    </row>
    <row r="237" spans="1:11">
      <c r="E237" s="61" t="s">
        <v>180</v>
      </c>
      <c r="F237" s="65">
        <v>18</v>
      </c>
      <c r="G237" s="66"/>
      <c r="H237" s="329">
        <v>18</v>
      </c>
      <c r="I237" s="329"/>
      <c r="J237" s="3">
        <v>35</v>
      </c>
      <c r="K237" s="3">
        <f>F237*J237/1000</f>
        <v>0.63</v>
      </c>
    </row>
    <row r="238" spans="1:11">
      <c r="E238" s="61" t="s">
        <v>106</v>
      </c>
      <c r="F238" s="65">
        <v>0.3</v>
      </c>
      <c r="G238" s="66"/>
      <c r="H238" s="329">
        <v>0.3</v>
      </c>
      <c r="I238" s="329"/>
      <c r="J238" s="3">
        <v>17</v>
      </c>
      <c r="K238" s="3">
        <f>F238*J238/1000</f>
        <v>5.0999999999999995E-3</v>
      </c>
    </row>
    <row r="239" spans="1:11">
      <c r="E239" s="61" t="s">
        <v>105</v>
      </c>
      <c r="F239" s="67">
        <v>5</v>
      </c>
      <c r="G239" s="68"/>
      <c r="H239" s="329">
        <v>5</v>
      </c>
      <c r="I239" s="329"/>
      <c r="J239" s="3">
        <v>497.15</v>
      </c>
      <c r="K239" s="3">
        <f>F239*J239/1000</f>
        <v>2.4857499999999999</v>
      </c>
    </row>
    <row r="240" spans="1:11">
      <c r="E240" s="70" t="s">
        <v>108</v>
      </c>
      <c r="F240" s="117" t="s">
        <v>109</v>
      </c>
      <c r="G240" s="118"/>
      <c r="H240" s="332">
        <v>150</v>
      </c>
      <c r="I240" s="332"/>
    </row>
    <row r="242" spans="1:26">
      <c r="C242" s="51" t="s">
        <v>141</v>
      </c>
      <c r="D242" s="53">
        <v>200</v>
      </c>
      <c r="F242" s="136" t="s">
        <v>100</v>
      </c>
      <c r="G242" s="137"/>
      <c r="H242" s="333" t="s">
        <v>101</v>
      </c>
      <c r="I242" s="333"/>
      <c r="K242" s="139">
        <f>K243+K244</f>
        <v>1.38405</v>
      </c>
    </row>
    <row r="243" spans="1:26">
      <c r="E243" s="61" t="s">
        <v>8</v>
      </c>
      <c r="F243" s="62">
        <v>0.6</v>
      </c>
      <c r="G243" s="63"/>
      <c r="H243" s="329">
        <v>0.6</v>
      </c>
      <c r="I243" s="329"/>
      <c r="J243" s="3">
        <v>500</v>
      </c>
      <c r="K243" s="3">
        <f>J243*F243/1000</f>
        <v>0.3</v>
      </c>
    </row>
    <row r="244" spans="1:26">
      <c r="E244" s="64" t="s">
        <v>107</v>
      </c>
      <c r="F244" s="67">
        <v>15</v>
      </c>
      <c r="G244" s="68"/>
      <c r="H244" s="330">
        <v>15</v>
      </c>
      <c r="I244" s="331"/>
      <c r="J244" s="3">
        <v>72.27</v>
      </c>
      <c r="K244" s="3">
        <f>J244*F244/1000</f>
        <v>1.08405</v>
      </c>
    </row>
    <row r="245" spans="1:26">
      <c r="E245" s="70" t="s">
        <v>108</v>
      </c>
      <c r="F245" s="117" t="s">
        <v>109</v>
      </c>
      <c r="G245" s="118"/>
      <c r="H245" s="332">
        <v>200</v>
      </c>
      <c r="I245" s="332"/>
    </row>
    <row r="247" spans="1:26">
      <c r="C247" s="51" t="s">
        <v>112</v>
      </c>
      <c r="D247" s="53">
        <v>40</v>
      </c>
      <c r="J247" s="3">
        <v>50.09</v>
      </c>
      <c r="K247" s="139">
        <f>D247*J247/1000</f>
        <v>2.0036</v>
      </c>
    </row>
    <row r="248" spans="1:26" ht="16.5" thickBot="1">
      <c r="A248" s="81"/>
      <c r="B248" s="81"/>
      <c r="C248" s="81"/>
      <c r="D248" s="82"/>
      <c r="E248" s="82"/>
      <c r="F248" s="82"/>
      <c r="G248" s="82"/>
      <c r="H248" s="82"/>
      <c r="I248" s="82"/>
      <c r="J248" s="83"/>
      <c r="K248" s="83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 spans="1:26">
      <c r="A249" s="51">
        <v>8</v>
      </c>
      <c r="B249" s="51" t="s">
        <v>71</v>
      </c>
    </row>
    <row r="250" spans="1:26">
      <c r="A250" s="51" t="s">
        <v>132</v>
      </c>
      <c r="B250" s="149">
        <f>K252+K256+K268+K274</f>
        <v>53.416423157894734</v>
      </c>
      <c r="J250" s="114"/>
      <c r="K250" s="115"/>
    </row>
    <row r="251" spans="1:26">
      <c r="B251" s="51">
        <f>D250+D252+D256+D268+D274</f>
        <v>440</v>
      </c>
    </row>
    <row r="252" spans="1:26">
      <c r="A252" s="53"/>
      <c r="B252" s="53"/>
      <c r="C252" s="51" t="s">
        <v>136</v>
      </c>
      <c r="D252" s="53">
        <v>30</v>
      </c>
      <c r="F252" s="150" t="s">
        <v>100</v>
      </c>
      <c r="G252" s="150" t="s">
        <v>101</v>
      </c>
      <c r="K252" s="115">
        <f>K253</f>
        <v>7.7652631578947364</v>
      </c>
    </row>
    <row r="253" spans="1:26">
      <c r="A253" s="53"/>
      <c r="B253" s="53"/>
      <c r="E253" s="151" t="s">
        <v>136</v>
      </c>
      <c r="F253" s="152">
        <v>30</v>
      </c>
      <c r="G253" s="152">
        <f>F253</f>
        <v>30</v>
      </c>
      <c r="J253" s="31">
        <v>98.36</v>
      </c>
      <c r="K253" s="3">
        <f>J253/380*F253</f>
        <v>7.7652631578947364</v>
      </c>
    </row>
    <row r="254" spans="1:26">
      <c r="A254" s="53"/>
      <c r="B254" s="53"/>
      <c r="E254" s="153" t="s">
        <v>108</v>
      </c>
      <c r="F254" s="154" t="s">
        <v>109</v>
      </c>
      <c r="G254" s="155">
        <v>30</v>
      </c>
    </row>
    <row r="256" spans="1:26">
      <c r="A256" s="53"/>
      <c r="B256" s="53"/>
      <c r="C256" s="51" t="s">
        <v>181</v>
      </c>
      <c r="D256" s="53">
        <v>170</v>
      </c>
      <c r="F256" s="333" t="s">
        <v>100</v>
      </c>
      <c r="G256" s="333"/>
      <c r="H256" s="333" t="s">
        <v>101</v>
      </c>
      <c r="I256" s="333"/>
      <c r="K256" s="115">
        <f>SUM(K257:K265)</f>
        <v>41.795110000000001</v>
      </c>
    </row>
    <row r="257" spans="1:11">
      <c r="A257" s="53"/>
      <c r="B257" s="53"/>
      <c r="E257" s="61" t="s">
        <v>182</v>
      </c>
      <c r="F257" s="156">
        <f>134*H266/170</f>
        <v>134</v>
      </c>
      <c r="G257" s="157"/>
      <c r="H257" s="345">
        <f t="shared" ref="H257:H265" si="8">F257</f>
        <v>134</v>
      </c>
      <c r="I257" s="345"/>
      <c r="J257" s="3">
        <v>260</v>
      </c>
      <c r="K257" s="3">
        <f t="shared" ref="K257:K265" si="9">J257*F257/1000</f>
        <v>34.840000000000003</v>
      </c>
    </row>
    <row r="258" spans="1:11">
      <c r="A258" s="53"/>
      <c r="B258" s="53"/>
      <c r="E258" s="64" t="s">
        <v>129</v>
      </c>
      <c r="F258" s="158">
        <f>18*H266/170</f>
        <v>18</v>
      </c>
      <c r="G258" s="159"/>
      <c r="H258" s="345">
        <f t="shared" si="8"/>
        <v>18</v>
      </c>
      <c r="I258" s="345"/>
      <c r="J258" s="3">
        <v>84</v>
      </c>
      <c r="K258" s="3">
        <f t="shared" si="9"/>
        <v>1.512</v>
      </c>
    </row>
    <row r="259" spans="1:11">
      <c r="A259" s="53"/>
      <c r="B259" s="53"/>
      <c r="E259" s="64" t="s">
        <v>103</v>
      </c>
      <c r="F259" s="158">
        <f>40*H266/170</f>
        <v>40</v>
      </c>
      <c r="G259" s="159"/>
      <c r="H259" s="345">
        <f t="shared" si="8"/>
        <v>40</v>
      </c>
      <c r="I259" s="345"/>
      <c r="J259" s="3">
        <v>57.5</v>
      </c>
      <c r="K259" s="3">
        <f t="shared" si="9"/>
        <v>2.2999999999999998</v>
      </c>
    </row>
    <row r="260" spans="1:11">
      <c r="A260" s="53"/>
      <c r="B260" s="53"/>
      <c r="E260" s="64" t="s">
        <v>140</v>
      </c>
      <c r="F260" s="158">
        <f>0.02*H266/170</f>
        <v>0.02</v>
      </c>
      <c r="G260" s="159"/>
      <c r="H260" s="345">
        <f t="shared" si="8"/>
        <v>0.02</v>
      </c>
      <c r="I260" s="345"/>
      <c r="J260" s="3">
        <v>1200</v>
      </c>
      <c r="K260" s="3">
        <f t="shared" si="9"/>
        <v>2.4E-2</v>
      </c>
    </row>
    <row r="261" spans="1:11">
      <c r="A261" s="53"/>
      <c r="B261" s="53"/>
      <c r="E261" s="64" t="s">
        <v>154</v>
      </c>
      <c r="F261" s="158">
        <f>9*H266/170</f>
        <v>9</v>
      </c>
      <c r="G261" s="159"/>
      <c r="H261" s="345">
        <f t="shared" si="8"/>
        <v>9</v>
      </c>
      <c r="I261" s="345"/>
      <c r="J261" s="3">
        <v>140</v>
      </c>
      <c r="K261" s="3">
        <f t="shared" si="9"/>
        <v>1.26</v>
      </c>
    </row>
    <row r="262" spans="1:11">
      <c r="A262" s="53"/>
      <c r="B262" s="53"/>
      <c r="E262" s="64" t="s">
        <v>107</v>
      </c>
      <c r="F262" s="158">
        <f>3*H266/170</f>
        <v>3</v>
      </c>
      <c r="G262" s="159"/>
      <c r="H262" s="345">
        <f t="shared" si="8"/>
        <v>3</v>
      </c>
      <c r="I262" s="345"/>
      <c r="J262" s="3">
        <v>72.27</v>
      </c>
      <c r="K262" s="3">
        <f t="shared" si="9"/>
        <v>0.21681</v>
      </c>
    </row>
    <row r="263" spans="1:11">
      <c r="A263" s="53"/>
      <c r="B263" s="53"/>
      <c r="E263" s="64" t="s">
        <v>118</v>
      </c>
      <c r="F263" s="158">
        <f>1.5*H266/170</f>
        <v>1.5</v>
      </c>
      <c r="G263" s="159"/>
      <c r="H263" s="345">
        <f t="shared" si="8"/>
        <v>1.5</v>
      </c>
      <c r="I263" s="345"/>
      <c r="J263" s="3">
        <v>200</v>
      </c>
      <c r="K263" s="3">
        <f t="shared" si="9"/>
        <v>0.3</v>
      </c>
    </row>
    <row r="264" spans="1:11">
      <c r="A264" s="53"/>
      <c r="B264" s="53"/>
      <c r="E264" s="64" t="s">
        <v>4</v>
      </c>
      <c r="F264" s="158">
        <f>2*H266/170</f>
        <v>2</v>
      </c>
      <c r="G264" s="159"/>
      <c r="H264" s="345">
        <f t="shared" si="8"/>
        <v>2</v>
      </c>
      <c r="I264" s="345"/>
      <c r="J264" s="3">
        <v>174</v>
      </c>
      <c r="K264" s="3">
        <f t="shared" si="9"/>
        <v>0.34799999999999998</v>
      </c>
    </row>
    <row r="265" spans="1:11">
      <c r="A265" s="53"/>
      <c r="B265" s="53"/>
      <c r="E265" s="64" t="s">
        <v>105</v>
      </c>
      <c r="F265" s="160">
        <f>2*H266/170</f>
        <v>2</v>
      </c>
      <c r="G265" s="161"/>
      <c r="H265" s="345">
        <f t="shared" si="8"/>
        <v>2</v>
      </c>
      <c r="I265" s="345"/>
      <c r="J265" s="3">
        <v>497.15</v>
      </c>
      <c r="K265" s="3">
        <f t="shared" si="9"/>
        <v>0.99429999999999996</v>
      </c>
    </row>
    <row r="266" spans="1:11">
      <c r="A266" s="53"/>
      <c r="B266" s="53"/>
      <c r="E266" s="70" t="s">
        <v>108</v>
      </c>
      <c r="F266" s="117" t="s">
        <v>109</v>
      </c>
      <c r="G266" s="118"/>
      <c r="H266" s="332">
        <v>170</v>
      </c>
      <c r="I266" s="332"/>
    </row>
    <row r="268" spans="1:11">
      <c r="C268" s="51" t="s">
        <v>141</v>
      </c>
      <c r="D268" s="53">
        <v>200</v>
      </c>
      <c r="F268" s="136" t="s">
        <v>100</v>
      </c>
      <c r="G268" s="137"/>
      <c r="H268" s="333" t="s">
        <v>101</v>
      </c>
      <c r="I268" s="333"/>
      <c r="K268" s="139">
        <f>K269+K270</f>
        <v>1.4740500000000001</v>
      </c>
    </row>
    <row r="269" spans="1:11">
      <c r="E269" s="61" t="s">
        <v>8</v>
      </c>
      <c r="F269" s="62">
        <v>0.6</v>
      </c>
      <c r="G269" s="63"/>
      <c r="H269" s="329">
        <v>0.6</v>
      </c>
      <c r="I269" s="329"/>
      <c r="J269" s="3">
        <v>650</v>
      </c>
      <c r="K269" s="3">
        <f>J269*F269/1000</f>
        <v>0.39</v>
      </c>
    </row>
    <row r="270" spans="1:11">
      <c r="E270" s="64" t="s">
        <v>107</v>
      </c>
      <c r="F270" s="67">
        <v>15</v>
      </c>
      <c r="G270" s="68"/>
      <c r="H270" s="330">
        <v>15</v>
      </c>
      <c r="I270" s="331"/>
      <c r="J270" s="3">
        <v>72.27</v>
      </c>
      <c r="K270" s="3">
        <f>J270*F270/1000</f>
        <v>1.08405</v>
      </c>
    </row>
    <row r="271" spans="1:11">
      <c r="E271" s="70" t="s">
        <v>108</v>
      </c>
      <c r="F271" s="117" t="s">
        <v>109</v>
      </c>
      <c r="G271" s="118"/>
      <c r="H271" s="332">
        <v>200</v>
      </c>
      <c r="I271" s="332"/>
    </row>
    <row r="272" spans="1:11">
      <c r="E272" s="70"/>
      <c r="F272" s="336"/>
      <c r="G272" s="336"/>
      <c r="H272" s="336"/>
      <c r="I272" s="336"/>
    </row>
    <row r="274" spans="1:26">
      <c r="C274" s="51" t="s">
        <v>142</v>
      </c>
      <c r="D274" s="53">
        <v>40</v>
      </c>
      <c r="J274" s="3">
        <v>59.55</v>
      </c>
      <c r="K274" s="115">
        <f>D274*J274/1000</f>
        <v>2.3820000000000001</v>
      </c>
    </row>
    <row r="275" spans="1:26" ht="16.5" thickBot="1">
      <c r="A275" s="81"/>
      <c r="B275" s="81"/>
      <c r="C275" s="81"/>
      <c r="D275" s="82"/>
      <c r="E275" s="82"/>
      <c r="F275" s="82"/>
      <c r="G275" s="82"/>
      <c r="H275" s="82"/>
      <c r="I275" s="82"/>
      <c r="J275" s="83"/>
      <c r="K275" s="83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</row>
    <row r="276" spans="1:26">
      <c r="A276" s="51">
        <v>9</v>
      </c>
      <c r="B276" s="51" t="s">
        <v>71</v>
      </c>
      <c r="C276" s="51" t="s">
        <v>337</v>
      </c>
      <c r="D276" s="53">
        <v>40</v>
      </c>
      <c r="F276" s="53">
        <v>42</v>
      </c>
      <c r="J276" s="3">
        <v>100</v>
      </c>
      <c r="K276" s="164">
        <f>J276*F276/1000</f>
        <v>4.2</v>
      </c>
    </row>
    <row r="277" spans="1:26">
      <c r="B277" s="162">
        <f>+K276+K278+K303+K309+K311+K318</f>
        <v>68.61181400000001</v>
      </c>
    </row>
    <row r="278" spans="1:26">
      <c r="B278" s="51">
        <f>D276+D278+D303+D309+D311+D318</f>
        <v>630</v>
      </c>
      <c r="C278" s="53" t="s">
        <v>183</v>
      </c>
      <c r="D278" s="53">
        <v>100</v>
      </c>
      <c r="F278" s="344" t="s">
        <v>100</v>
      </c>
      <c r="G278" s="333"/>
      <c r="H278" s="344" t="s">
        <v>101</v>
      </c>
      <c r="I278" s="333"/>
      <c r="K278" s="164">
        <f>SUM(K279:K298)</f>
        <v>42.517613999999995</v>
      </c>
    </row>
    <row r="279" spans="1:26">
      <c r="B279" s="163"/>
      <c r="E279" s="91" t="s">
        <v>115</v>
      </c>
      <c r="F279" s="91">
        <v>69.400000000000006</v>
      </c>
      <c r="G279" s="92"/>
      <c r="H279" s="341">
        <v>50.7</v>
      </c>
      <c r="I279" s="341"/>
      <c r="J279" s="3">
        <v>548</v>
      </c>
      <c r="K279" s="3">
        <f>F279*J279/1000</f>
        <v>38.031200000000005</v>
      </c>
    </row>
    <row r="280" spans="1:26">
      <c r="A280" s="53"/>
      <c r="B280" s="53"/>
      <c r="E280" s="91" t="s">
        <v>103</v>
      </c>
      <c r="F280" s="91">
        <v>16</v>
      </c>
      <c r="G280" s="92"/>
      <c r="H280" s="341">
        <v>16</v>
      </c>
      <c r="I280" s="341"/>
      <c r="J280" s="3">
        <v>57.5</v>
      </c>
      <c r="K280" s="3">
        <f>F280*J280/1000</f>
        <v>0.92</v>
      </c>
    </row>
    <row r="281" spans="1:26">
      <c r="A281" s="53"/>
      <c r="B281" s="53"/>
      <c r="E281" s="91" t="s">
        <v>117</v>
      </c>
      <c r="F281" s="91">
        <v>11</v>
      </c>
      <c r="G281" s="92"/>
      <c r="H281" s="341">
        <v>11</v>
      </c>
      <c r="I281" s="341"/>
      <c r="J281" s="3">
        <v>50.09</v>
      </c>
      <c r="K281" s="3">
        <f>F281*J281/1000</f>
        <v>0.55098999999999998</v>
      </c>
    </row>
    <row r="282" spans="1:26">
      <c r="A282" s="53"/>
      <c r="B282" s="53"/>
      <c r="E282" s="91" t="s">
        <v>44</v>
      </c>
      <c r="F282" s="91">
        <v>31</v>
      </c>
      <c r="G282" s="92"/>
      <c r="H282" s="341">
        <v>26</v>
      </c>
      <c r="I282" s="341"/>
      <c r="J282" s="3">
        <v>20</v>
      </c>
      <c r="K282" s="3">
        <f>F282*J282/1000</f>
        <v>0.62</v>
      </c>
    </row>
    <row r="283" spans="1:26">
      <c r="A283" s="53"/>
      <c r="B283" s="53"/>
      <c r="E283" s="91" t="s">
        <v>5</v>
      </c>
      <c r="F283" s="91">
        <v>4</v>
      </c>
      <c r="G283" s="92"/>
      <c r="H283" s="341">
        <v>4</v>
      </c>
      <c r="I283" s="341"/>
      <c r="J283" s="3">
        <v>152</v>
      </c>
      <c r="K283" s="3">
        <f>F283*J283/1000</f>
        <v>0.60799999999999998</v>
      </c>
    </row>
    <row r="284" spans="1:26">
      <c r="A284" s="53"/>
      <c r="B284" s="53"/>
      <c r="E284" s="91" t="s">
        <v>184</v>
      </c>
      <c r="F284" s="91" t="s">
        <v>109</v>
      </c>
      <c r="G284" s="92"/>
      <c r="H284" s="341">
        <v>13</v>
      </c>
      <c r="I284" s="341"/>
    </row>
    <row r="285" spans="1:26">
      <c r="A285" s="53"/>
      <c r="B285" s="53"/>
      <c r="E285" s="91" t="s">
        <v>185</v>
      </c>
      <c r="F285" s="91" t="s">
        <v>109</v>
      </c>
      <c r="G285" s="92"/>
      <c r="H285" s="341">
        <v>80</v>
      </c>
      <c r="I285" s="341"/>
    </row>
    <row r="286" spans="1:26">
      <c r="A286" s="53"/>
      <c r="B286" s="53"/>
      <c r="E286" s="91" t="s">
        <v>34</v>
      </c>
      <c r="F286" s="91">
        <v>5.3</v>
      </c>
      <c r="G286" s="92"/>
      <c r="H286" s="341">
        <v>5.3</v>
      </c>
      <c r="I286" s="341"/>
      <c r="J286" s="3">
        <v>37</v>
      </c>
      <c r="K286" s="3">
        <f>F286*J286/1000</f>
        <v>0.1961</v>
      </c>
    </row>
    <row r="287" spans="1:26">
      <c r="A287" s="53"/>
      <c r="B287" s="53"/>
      <c r="E287" s="91" t="s">
        <v>124</v>
      </c>
      <c r="F287" s="91">
        <v>0.35</v>
      </c>
      <c r="G287" s="92"/>
      <c r="H287" s="341">
        <v>0.35</v>
      </c>
      <c r="I287" s="341"/>
      <c r="J287" s="3">
        <v>17</v>
      </c>
      <c r="K287" s="3">
        <f>F287*J287/1000</f>
        <v>5.9499999999999996E-3</v>
      </c>
    </row>
    <row r="288" spans="1:26">
      <c r="A288" s="53"/>
      <c r="B288" s="53"/>
      <c r="E288" s="91" t="s">
        <v>119</v>
      </c>
      <c r="F288" s="91" t="s">
        <v>109</v>
      </c>
      <c r="G288" s="92"/>
      <c r="H288" s="341">
        <v>95</v>
      </c>
      <c r="I288" s="341"/>
    </row>
    <row r="289" spans="1:11">
      <c r="A289" s="53"/>
      <c r="B289" s="53"/>
      <c r="E289" s="91" t="s">
        <v>5</v>
      </c>
      <c r="F289" s="91">
        <v>4</v>
      </c>
      <c r="G289" s="92"/>
      <c r="H289" s="341">
        <v>4</v>
      </c>
      <c r="I289" s="341"/>
      <c r="J289" s="3">
        <v>152</v>
      </c>
      <c r="K289" s="3">
        <f t="shared" ref="K289:K298" si="10">F289*J289/1000</f>
        <v>0.60799999999999998</v>
      </c>
    </row>
    <row r="290" spans="1:11">
      <c r="A290" s="53"/>
      <c r="B290" s="53"/>
      <c r="E290" s="91" t="s">
        <v>123</v>
      </c>
      <c r="F290" s="91">
        <v>18</v>
      </c>
      <c r="G290" s="92"/>
      <c r="H290" s="341">
        <v>18</v>
      </c>
      <c r="I290" s="341"/>
      <c r="K290" s="3">
        <f t="shared" si="10"/>
        <v>0</v>
      </c>
    </row>
    <row r="291" spans="1:11">
      <c r="A291" s="53"/>
      <c r="B291" s="53"/>
      <c r="E291" s="91" t="s">
        <v>105</v>
      </c>
      <c r="F291" s="91">
        <v>0.9</v>
      </c>
      <c r="G291" s="92"/>
      <c r="H291" s="341">
        <v>0.9</v>
      </c>
      <c r="I291" s="341"/>
      <c r="J291" s="3">
        <v>497.15</v>
      </c>
      <c r="K291" s="3">
        <f t="shared" si="10"/>
        <v>0.44743500000000003</v>
      </c>
    </row>
    <row r="292" spans="1:11">
      <c r="A292" s="53"/>
      <c r="B292" s="53"/>
      <c r="E292" s="91" t="s">
        <v>34</v>
      </c>
      <c r="F292" s="91">
        <v>0.9</v>
      </c>
      <c r="G292" s="92"/>
      <c r="H292" s="341">
        <v>0.9</v>
      </c>
      <c r="I292" s="341"/>
      <c r="J292" s="3">
        <v>37</v>
      </c>
      <c r="K292" s="3">
        <f t="shared" si="10"/>
        <v>3.3300000000000003E-2</v>
      </c>
    </row>
    <row r="293" spans="1:11">
      <c r="A293" s="53"/>
      <c r="B293" s="53"/>
      <c r="E293" s="91" t="s">
        <v>45</v>
      </c>
      <c r="F293" s="91">
        <v>1.5</v>
      </c>
      <c r="G293" s="92"/>
      <c r="H293" s="341">
        <v>1.2</v>
      </c>
      <c r="I293" s="341"/>
      <c r="J293" s="3">
        <v>30</v>
      </c>
      <c r="K293" s="3">
        <f t="shared" si="10"/>
        <v>4.4999999999999998E-2</v>
      </c>
    </row>
    <row r="294" spans="1:11">
      <c r="A294" s="53"/>
      <c r="B294" s="53"/>
      <c r="E294" s="91" t="s">
        <v>44</v>
      </c>
      <c r="F294" s="91">
        <v>0.5</v>
      </c>
      <c r="G294" s="92"/>
      <c r="H294" s="341">
        <v>0.4</v>
      </c>
      <c r="I294" s="341"/>
      <c r="J294" s="3">
        <v>20</v>
      </c>
      <c r="K294" s="3">
        <f t="shared" si="10"/>
        <v>0.01</v>
      </c>
    </row>
    <row r="295" spans="1:11">
      <c r="A295" s="53"/>
      <c r="B295" s="53"/>
      <c r="E295" s="91" t="s">
        <v>126</v>
      </c>
      <c r="F295" s="91">
        <v>2</v>
      </c>
      <c r="G295" s="92"/>
      <c r="H295" s="341">
        <v>2</v>
      </c>
      <c r="I295" s="341"/>
      <c r="J295" s="3">
        <v>138</v>
      </c>
      <c r="K295" s="3">
        <f t="shared" si="10"/>
        <v>0.27600000000000002</v>
      </c>
    </row>
    <row r="296" spans="1:11">
      <c r="A296" s="53"/>
      <c r="B296" s="53"/>
      <c r="E296" s="91" t="s">
        <v>105</v>
      </c>
      <c r="F296" s="91">
        <v>0.3</v>
      </c>
      <c r="G296" s="92"/>
      <c r="H296" s="341">
        <v>0.3</v>
      </c>
      <c r="I296" s="341"/>
      <c r="J296" s="3">
        <v>497.15</v>
      </c>
      <c r="K296" s="3">
        <f t="shared" si="10"/>
        <v>0.14914499999999997</v>
      </c>
    </row>
    <row r="297" spans="1:11">
      <c r="A297" s="53"/>
      <c r="B297" s="53"/>
      <c r="E297" s="91" t="s">
        <v>125</v>
      </c>
      <c r="F297" s="91">
        <v>0.2</v>
      </c>
      <c r="G297" s="92"/>
      <c r="H297" s="341">
        <v>0.2</v>
      </c>
      <c r="I297" s="341"/>
      <c r="J297" s="3">
        <v>72.27</v>
      </c>
      <c r="K297" s="3">
        <f t="shared" si="10"/>
        <v>1.4454E-2</v>
      </c>
    </row>
    <row r="298" spans="1:11">
      <c r="A298" s="53"/>
      <c r="B298" s="53"/>
      <c r="E298" s="91" t="s">
        <v>124</v>
      </c>
      <c r="F298" s="91">
        <v>0.12</v>
      </c>
      <c r="G298" s="92"/>
      <c r="H298" s="341">
        <v>0.12</v>
      </c>
      <c r="I298" s="341"/>
      <c r="J298" s="3">
        <v>17</v>
      </c>
      <c r="K298" s="3">
        <f t="shared" si="10"/>
        <v>2.0400000000000001E-3</v>
      </c>
    </row>
    <row r="299" spans="1:11">
      <c r="A299" s="53"/>
      <c r="B299" s="53"/>
      <c r="E299" s="91" t="s">
        <v>104</v>
      </c>
      <c r="F299" s="91">
        <v>20</v>
      </c>
      <c r="G299" s="92"/>
      <c r="H299" s="341">
        <v>20</v>
      </c>
      <c r="I299" s="341"/>
    </row>
    <row r="300" spans="1:11">
      <c r="A300" s="53"/>
      <c r="B300" s="53"/>
      <c r="E300" s="91" t="s">
        <v>186</v>
      </c>
      <c r="F300" s="341" t="s">
        <v>109</v>
      </c>
      <c r="G300" s="341"/>
      <c r="H300" s="341">
        <v>20</v>
      </c>
      <c r="I300" s="341"/>
    </row>
    <row r="301" spans="1:11">
      <c r="A301" s="53"/>
      <c r="B301" s="53"/>
      <c r="E301" s="97" t="s">
        <v>127</v>
      </c>
      <c r="F301" s="342">
        <v>100</v>
      </c>
      <c r="G301" s="343"/>
      <c r="H301" s="343"/>
      <c r="I301" s="343"/>
    </row>
    <row r="303" spans="1:11">
      <c r="A303" s="53"/>
      <c r="B303" s="53"/>
      <c r="C303" s="51" t="s">
        <v>148</v>
      </c>
      <c r="D303" s="53">
        <v>150</v>
      </c>
      <c r="F303" s="333" t="s">
        <v>100</v>
      </c>
      <c r="G303" s="333"/>
      <c r="H303" s="333" t="s">
        <v>101</v>
      </c>
      <c r="I303" s="333"/>
      <c r="K303" s="164">
        <f>SUM(K304:K306)</f>
        <v>4.8765499999999999</v>
      </c>
    </row>
    <row r="304" spans="1:11">
      <c r="A304" s="53"/>
      <c r="B304" s="53"/>
      <c r="E304" s="61" t="s">
        <v>13</v>
      </c>
      <c r="F304" s="62">
        <v>52</v>
      </c>
      <c r="G304" s="63"/>
      <c r="H304" s="329">
        <v>52</v>
      </c>
      <c r="I304" s="329"/>
      <c r="J304" s="3">
        <v>65</v>
      </c>
      <c r="K304" s="3">
        <f>F304*J304/1000</f>
        <v>3.38</v>
      </c>
    </row>
    <row r="305" spans="1:24">
      <c r="A305" s="53"/>
      <c r="B305" s="53"/>
      <c r="E305" s="61" t="s">
        <v>106</v>
      </c>
      <c r="F305" s="65">
        <v>0.3</v>
      </c>
      <c r="G305" s="66"/>
      <c r="H305" s="329">
        <v>0.3</v>
      </c>
      <c r="I305" s="329"/>
      <c r="J305" s="3">
        <v>17</v>
      </c>
      <c r="K305" s="3">
        <f>F305*J305/1000</f>
        <v>5.0999999999999995E-3</v>
      </c>
    </row>
    <row r="306" spans="1:24">
      <c r="A306" s="53"/>
      <c r="B306" s="53"/>
      <c r="E306" s="61" t="s">
        <v>105</v>
      </c>
      <c r="F306" s="67">
        <v>3</v>
      </c>
      <c r="G306" s="68"/>
      <c r="H306" s="329">
        <v>3</v>
      </c>
      <c r="I306" s="329"/>
      <c r="J306" s="3">
        <v>497.15</v>
      </c>
      <c r="K306" s="3">
        <f>F306*J306/1000</f>
        <v>1.4914499999999997</v>
      </c>
    </row>
    <row r="307" spans="1:24">
      <c r="A307" s="53"/>
      <c r="B307" s="53"/>
      <c r="E307" s="70" t="s">
        <v>108</v>
      </c>
      <c r="F307" s="117" t="s">
        <v>109</v>
      </c>
      <c r="G307" s="118"/>
      <c r="H307" s="332">
        <v>150</v>
      </c>
      <c r="I307" s="332"/>
    </row>
    <row r="309" spans="1:24">
      <c r="A309" s="53"/>
      <c r="B309" s="53"/>
      <c r="C309" s="51" t="s">
        <v>94</v>
      </c>
      <c r="D309" s="53">
        <v>100</v>
      </c>
      <c r="J309" s="3">
        <v>65</v>
      </c>
      <c r="K309" s="165">
        <f>J309*D309/1000</f>
        <v>6.5</v>
      </c>
    </row>
    <row r="311" spans="1:24">
      <c r="A311" s="53"/>
      <c r="B311" s="53"/>
      <c r="C311" s="51" t="s">
        <v>130</v>
      </c>
      <c r="D311" s="53">
        <v>200</v>
      </c>
      <c r="F311" s="333" t="s">
        <v>100</v>
      </c>
      <c r="G311" s="333"/>
      <c r="H311" s="333" t="s">
        <v>101</v>
      </c>
      <c r="I311" s="333"/>
      <c r="K311" s="164">
        <f>SUM(K312:K315)</f>
        <v>8.514050000000001</v>
      </c>
    </row>
    <row r="312" spans="1:24">
      <c r="A312" s="53"/>
      <c r="B312" s="53"/>
      <c r="E312" s="61" t="s">
        <v>131</v>
      </c>
      <c r="F312" s="62">
        <v>4</v>
      </c>
      <c r="G312" s="63"/>
      <c r="H312" s="329">
        <v>4</v>
      </c>
      <c r="I312" s="329"/>
      <c r="J312" s="3">
        <v>420</v>
      </c>
      <c r="K312" s="3">
        <f>J312*F312/1000</f>
        <v>1.68</v>
      </c>
    </row>
    <row r="313" spans="1:24">
      <c r="A313" s="53"/>
      <c r="B313" s="53"/>
      <c r="E313" s="64" t="s">
        <v>107</v>
      </c>
      <c r="F313" s="65">
        <v>15</v>
      </c>
      <c r="G313" s="66"/>
      <c r="H313" s="330">
        <v>15</v>
      </c>
      <c r="I313" s="331"/>
      <c r="J313" s="3">
        <v>72.27</v>
      </c>
      <c r="K313" s="3">
        <f>J313*F313/1000</f>
        <v>1.08405</v>
      </c>
    </row>
    <row r="314" spans="1:24">
      <c r="A314" s="53"/>
      <c r="B314" s="53"/>
      <c r="E314" s="64" t="s">
        <v>65</v>
      </c>
      <c r="F314" s="65">
        <v>100</v>
      </c>
      <c r="G314" s="66"/>
      <c r="H314" s="330">
        <v>100</v>
      </c>
      <c r="I314" s="331"/>
      <c r="J314" s="3">
        <v>57.5</v>
      </c>
      <c r="K314" s="3">
        <f>J314*F314/1000</f>
        <v>5.75</v>
      </c>
    </row>
    <row r="315" spans="1:24">
      <c r="A315" s="53"/>
      <c r="B315" s="53"/>
      <c r="E315" s="64" t="s">
        <v>104</v>
      </c>
      <c r="F315" s="67">
        <v>81</v>
      </c>
      <c r="G315" s="68"/>
      <c r="H315" s="330">
        <v>81</v>
      </c>
      <c r="I315" s="331"/>
      <c r="J315" s="3">
        <v>0</v>
      </c>
      <c r="K315" s="3">
        <f>J315*F315/1000</f>
        <v>0</v>
      </c>
    </row>
    <row r="316" spans="1:24">
      <c r="A316" s="53"/>
      <c r="B316" s="53"/>
      <c r="E316" s="70" t="s">
        <v>108</v>
      </c>
      <c r="F316" s="336" t="s">
        <v>109</v>
      </c>
      <c r="G316" s="336"/>
      <c r="H316" s="332">
        <v>200</v>
      </c>
      <c r="I316" s="332"/>
    </row>
    <row r="318" spans="1:24">
      <c r="A318" s="53"/>
      <c r="B318" s="53"/>
      <c r="C318" s="51" t="s">
        <v>112</v>
      </c>
      <c r="D318" s="53">
        <v>40</v>
      </c>
      <c r="J318" s="3">
        <v>50.09</v>
      </c>
      <c r="K318" s="164">
        <f>D318*J318/1000</f>
        <v>2.0036</v>
      </c>
    </row>
    <row r="319" spans="1:24" ht="16.5" thickBot="1">
      <c r="A319" s="81"/>
      <c r="B319" s="81"/>
      <c r="C319" s="81"/>
      <c r="D319" s="82"/>
      <c r="E319" s="82"/>
      <c r="F319" s="82"/>
      <c r="G319" s="82"/>
      <c r="H319" s="82"/>
      <c r="I319" s="82"/>
      <c r="J319" s="83"/>
      <c r="K319" s="83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</row>
    <row r="320" spans="1:24">
      <c r="A320" s="166">
        <v>10</v>
      </c>
      <c r="B320" s="51">
        <f>K327+K329+K338+K340+K345+K323</f>
        <v>52.800750999999991</v>
      </c>
      <c r="C320" s="167"/>
      <c r="D320" s="168"/>
      <c r="E320" s="168"/>
      <c r="F320" s="168"/>
      <c r="G320" s="168"/>
      <c r="H320" s="168"/>
      <c r="I320" s="168"/>
      <c r="J320" s="89"/>
      <c r="K320" s="89"/>
    </row>
    <row r="321" spans="2:11">
      <c r="B321" s="51">
        <f>D327+D329+D338+D340+D345+D323</f>
        <v>500</v>
      </c>
      <c r="E321" s="61"/>
      <c r="F321" s="133"/>
      <c r="G321" s="134"/>
      <c r="H321" s="329"/>
      <c r="I321" s="329"/>
      <c r="J321" s="89"/>
      <c r="K321" s="89"/>
    </row>
    <row r="322" spans="2:11">
      <c r="C322" s="167"/>
      <c r="D322" s="168"/>
      <c r="E322" s="169"/>
      <c r="F322" s="337"/>
      <c r="G322" s="338"/>
      <c r="H322" s="168"/>
      <c r="I322" s="168"/>
      <c r="J322" s="89"/>
      <c r="K322" s="89"/>
    </row>
    <row r="323" spans="2:11">
      <c r="C323" s="86" t="s">
        <v>337</v>
      </c>
      <c r="D323" s="87">
        <v>40</v>
      </c>
      <c r="E323" s="87"/>
      <c r="F323" s="87">
        <v>42</v>
      </c>
      <c r="G323" s="87"/>
      <c r="H323" s="87"/>
      <c r="I323" s="87"/>
      <c r="J323" s="31">
        <v>100</v>
      </c>
      <c r="K323" s="88">
        <f>J323*F323/1000</f>
        <v>4.2</v>
      </c>
    </row>
    <row r="324" spans="2:11">
      <c r="C324" s="167"/>
      <c r="D324" s="168"/>
      <c r="E324" s="169"/>
      <c r="F324" s="339"/>
      <c r="G324" s="340"/>
      <c r="H324" s="168"/>
      <c r="I324" s="168"/>
      <c r="J324" s="89"/>
      <c r="K324" s="89"/>
    </row>
    <row r="325" spans="2:11">
      <c r="C325" s="167"/>
      <c r="D325" s="168"/>
      <c r="E325" s="168"/>
      <c r="F325" s="170"/>
      <c r="G325" s="170"/>
      <c r="H325" s="170"/>
      <c r="I325" s="170"/>
      <c r="J325" s="89"/>
      <c r="K325" s="89"/>
    </row>
    <row r="327" spans="2:11">
      <c r="C327" s="51" t="s">
        <v>169</v>
      </c>
      <c r="D327" s="53">
        <v>20</v>
      </c>
      <c r="E327" s="61" t="s">
        <v>170</v>
      </c>
      <c r="F327" s="133">
        <v>21</v>
      </c>
      <c r="G327" s="134"/>
      <c r="H327" s="329">
        <v>20</v>
      </c>
      <c r="I327" s="329"/>
      <c r="J327" s="3">
        <v>498</v>
      </c>
      <c r="K327" s="135">
        <f>F327*J327/1000</f>
        <v>10.458</v>
      </c>
    </row>
    <row r="329" spans="2:11">
      <c r="C329" s="51" t="s">
        <v>153</v>
      </c>
      <c r="D329" s="53">
        <v>200</v>
      </c>
      <c r="F329" s="333" t="s">
        <v>100</v>
      </c>
      <c r="G329" s="333"/>
      <c r="H329" s="333" t="s">
        <v>101</v>
      </c>
      <c r="I329" s="333"/>
      <c r="K329" s="122">
        <f>SUM(K330:K335)</f>
        <v>34.286700999999994</v>
      </c>
    </row>
    <row r="330" spans="2:11">
      <c r="E330" s="61" t="s">
        <v>154</v>
      </c>
      <c r="F330" s="62">
        <v>137.94</v>
      </c>
      <c r="G330" s="63"/>
      <c r="H330" s="329">
        <f t="shared" ref="H330:H334" si="11">F330</f>
        <v>137.94</v>
      </c>
      <c r="I330" s="329"/>
      <c r="J330" s="3">
        <v>140</v>
      </c>
      <c r="K330" s="3">
        <f t="shared" ref="K330:K335" si="12">F330*J330/1000</f>
        <v>19.311599999999999</v>
      </c>
    </row>
    <row r="331" spans="2:11">
      <c r="E331" s="64" t="s">
        <v>103</v>
      </c>
      <c r="F331" s="65">
        <v>51.72</v>
      </c>
      <c r="G331" s="66"/>
      <c r="H331" s="329">
        <f t="shared" si="11"/>
        <v>51.72</v>
      </c>
      <c r="I331" s="329"/>
      <c r="J331" s="3">
        <v>57.5</v>
      </c>
      <c r="K331" s="3">
        <f t="shared" si="12"/>
        <v>2.9739</v>
      </c>
    </row>
    <row r="332" spans="2:11">
      <c r="E332" s="64" t="s">
        <v>105</v>
      </c>
      <c r="F332" s="65">
        <v>6.9</v>
      </c>
      <c r="G332" s="66"/>
      <c r="H332" s="329">
        <f t="shared" si="11"/>
        <v>6.9</v>
      </c>
      <c r="I332" s="329"/>
      <c r="J332" s="3">
        <v>497.15</v>
      </c>
      <c r="K332" s="3">
        <f t="shared" si="12"/>
        <v>3.4303349999999999</v>
      </c>
    </row>
    <row r="333" spans="2:11">
      <c r="E333" s="64" t="s">
        <v>116</v>
      </c>
      <c r="F333" s="65">
        <v>51.72</v>
      </c>
      <c r="G333" s="66"/>
      <c r="H333" s="329">
        <f t="shared" si="11"/>
        <v>51.72</v>
      </c>
      <c r="I333" s="329"/>
      <c r="K333" s="3">
        <f t="shared" si="12"/>
        <v>0</v>
      </c>
    </row>
    <row r="334" spans="2:11">
      <c r="E334" s="64" t="s">
        <v>105</v>
      </c>
      <c r="F334" s="125">
        <v>17.239999999999998</v>
      </c>
      <c r="G334" s="126"/>
      <c r="H334" s="329">
        <f t="shared" si="11"/>
        <v>17.239999999999998</v>
      </c>
      <c r="I334" s="329"/>
      <c r="J334" s="3">
        <v>497.15</v>
      </c>
      <c r="K334" s="3">
        <f t="shared" si="12"/>
        <v>8.5708659999999988</v>
      </c>
    </row>
    <row r="335" spans="2:11">
      <c r="E335" s="61"/>
      <c r="F335" s="329"/>
      <c r="G335" s="329"/>
      <c r="H335" s="329"/>
      <c r="I335" s="329"/>
      <c r="K335" s="3">
        <f t="shared" si="12"/>
        <v>0</v>
      </c>
    </row>
    <row r="336" spans="2:11">
      <c r="E336" s="70" t="s">
        <v>108</v>
      </c>
      <c r="F336" s="336" t="s">
        <v>109</v>
      </c>
      <c r="G336" s="336"/>
      <c r="H336" s="332">
        <v>200</v>
      </c>
      <c r="I336" s="332"/>
    </row>
    <row r="338" spans="1:26">
      <c r="A338" s="53"/>
      <c r="B338" s="53"/>
      <c r="E338" s="61"/>
      <c r="F338" s="329"/>
      <c r="G338" s="329"/>
      <c r="H338" s="329"/>
      <c r="I338" s="329"/>
      <c r="K338" s="135"/>
    </row>
    <row r="340" spans="1:26">
      <c r="A340" s="53"/>
      <c r="B340" s="53"/>
      <c r="C340" s="51" t="s">
        <v>141</v>
      </c>
      <c r="D340" s="53">
        <v>200</v>
      </c>
      <c r="F340" s="333" t="s">
        <v>100</v>
      </c>
      <c r="G340" s="333"/>
      <c r="H340" s="333" t="s">
        <v>101</v>
      </c>
      <c r="I340" s="333"/>
      <c r="K340" s="122">
        <f>K341+K342</f>
        <v>1.4740500000000001</v>
      </c>
    </row>
    <row r="341" spans="1:26">
      <c r="A341" s="53"/>
      <c r="B341" s="53"/>
      <c r="E341" s="61" t="s">
        <v>8</v>
      </c>
      <c r="F341" s="62">
        <v>0.6</v>
      </c>
      <c r="G341" s="63"/>
      <c r="H341" s="329">
        <v>0.6</v>
      </c>
      <c r="I341" s="329"/>
      <c r="J341" s="3">
        <v>650</v>
      </c>
      <c r="K341" s="3">
        <f>J341*F341/1000</f>
        <v>0.39</v>
      </c>
    </row>
    <row r="342" spans="1:26">
      <c r="A342" s="53"/>
      <c r="B342" s="53"/>
      <c r="E342" s="64" t="s">
        <v>107</v>
      </c>
      <c r="F342" s="67">
        <v>15</v>
      </c>
      <c r="G342" s="68"/>
      <c r="H342" s="330">
        <v>15</v>
      </c>
      <c r="I342" s="331"/>
      <c r="J342" s="3">
        <v>72.27</v>
      </c>
      <c r="K342" s="3">
        <f>J342*F342/1000</f>
        <v>1.08405</v>
      </c>
    </row>
    <row r="343" spans="1:26">
      <c r="A343" s="53"/>
      <c r="B343" s="53"/>
      <c r="E343" s="70" t="s">
        <v>108</v>
      </c>
      <c r="F343" s="117" t="s">
        <v>109</v>
      </c>
      <c r="G343" s="118"/>
      <c r="H343" s="332">
        <v>200</v>
      </c>
      <c r="I343" s="332"/>
    </row>
    <row r="345" spans="1:26" ht="16.5" thickBot="1">
      <c r="A345" s="82"/>
      <c r="B345" s="82"/>
      <c r="C345" s="81" t="s">
        <v>142</v>
      </c>
      <c r="D345" s="82">
        <v>40</v>
      </c>
      <c r="E345" s="82"/>
      <c r="F345" s="82"/>
      <c r="G345" s="82"/>
      <c r="H345" s="82"/>
      <c r="I345" s="82"/>
      <c r="J345" s="83">
        <v>59.55</v>
      </c>
      <c r="K345" s="171">
        <f>D345*J345/1000</f>
        <v>2.3820000000000001</v>
      </c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</row>
  </sheetData>
  <mergeCells count="268">
    <mergeCell ref="E17:E19"/>
    <mergeCell ref="F18:I18"/>
    <mergeCell ref="F19:G19"/>
    <mergeCell ref="H19:I19"/>
    <mergeCell ref="E5:E7"/>
    <mergeCell ref="H65:I65"/>
    <mergeCell ref="H66:I66"/>
    <mergeCell ref="F67:G67"/>
    <mergeCell ref="H67:I67"/>
    <mergeCell ref="F24:G24"/>
    <mergeCell ref="H24:I24"/>
    <mergeCell ref="H22:I22"/>
    <mergeCell ref="H23:I23"/>
    <mergeCell ref="H20:I20"/>
    <mergeCell ref="H21:I21"/>
    <mergeCell ref="F79:G79"/>
    <mergeCell ref="H79:I79"/>
    <mergeCell ref="H80:I80"/>
    <mergeCell ref="F81:G81"/>
    <mergeCell ref="H81:I81"/>
    <mergeCell ref="H83:I83"/>
    <mergeCell ref="F73:G73"/>
    <mergeCell ref="H73:I73"/>
    <mergeCell ref="H74:I74"/>
    <mergeCell ref="H75:I75"/>
    <mergeCell ref="H76:I76"/>
    <mergeCell ref="F77:G77"/>
    <mergeCell ref="H77:I77"/>
    <mergeCell ref="H90:I90"/>
    <mergeCell ref="H91:I91"/>
    <mergeCell ref="H92:I92"/>
    <mergeCell ref="H93:I93"/>
    <mergeCell ref="F94:G94"/>
    <mergeCell ref="H94:I94"/>
    <mergeCell ref="H84:I84"/>
    <mergeCell ref="H85:I85"/>
    <mergeCell ref="H86:I86"/>
    <mergeCell ref="H87:I87"/>
    <mergeCell ref="H88:I88"/>
    <mergeCell ref="H89:I89"/>
    <mergeCell ref="H116:I116"/>
    <mergeCell ref="F118:G118"/>
    <mergeCell ref="H118:I118"/>
    <mergeCell ref="H119:I119"/>
    <mergeCell ref="H120:I120"/>
    <mergeCell ref="H121:I121"/>
    <mergeCell ref="F100:G100"/>
    <mergeCell ref="H100:I100"/>
    <mergeCell ref="F95:G95"/>
    <mergeCell ref="H95:I95"/>
    <mergeCell ref="F97:G97"/>
    <mergeCell ref="H97:I97"/>
    <mergeCell ref="H98:I98"/>
    <mergeCell ref="H99:I99"/>
    <mergeCell ref="F114:G114"/>
    <mergeCell ref="H114:I114"/>
    <mergeCell ref="F115:I115"/>
    <mergeCell ref="F112:G112"/>
    <mergeCell ref="H112:I112"/>
    <mergeCell ref="F113:G113"/>
    <mergeCell ref="H113:I113"/>
    <mergeCell ref="F110:G110"/>
    <mergeCell ref="H110:I110"/>
    <mergeCell ref="F111:G111"/>
    <mergeCell ref="F128:G128"/>
    <mergeCell ref="H128:I128"/>
    <mergeCell ref="F132:G132"/>
    <mergeCell ref="H132:I132"/>
    <mergeCell ref="H122:I122"/>
    <mergeCell ref="F124:G124"/>
    <mergeCell ref="H124:I124"/>
    <mergeCell ref="H125:I125"/>
    <mergeCell ref="H126:I126"/>
    <mergeCell ref="H127:I127"/>
    <mergeCell ref="F138:G138"/>
    <mergeCell ref="H138:I138"/>
    <mergeCell ref="F140:G140"/>
    <mergeCell ref="H140:I140"/>
    <mergeCell ref="H141:I141"/>
    <mergeCell ref="H142:I142"/>
    <mergeCell ref="F134:G134"/>
    <mergeCell ref="H134:I134"/>
    <mergeCell ref="F135:G135"/>
    <mergeCell ref="H135:I135"/>
    <mergeCell ref="F136:G136"/>
    <mergeCell ref="F137:G137"/>
    <mergeCell ref="H137:I137"/>
    <mergeCell ref="F148:G148"/>
    <mergeCell ref="H148:I148"/>
    <mergeCell ref="H149:I149"/>
    <mergeCell ref="F153:G153"/>
    <mergeCell ref="H153:I153"/>
    <mergeCell ref="H154:I154"/>
    <mergeCell ref="H143:I143"/>
    <mergeCell ref="H144:I144"/>
    <mergeCell ref="H145:I145"/>
    <mergeCell ref="F146:G146"/>
    <mergeCell ref="H146:I146"/>
    <mergeCell ref="F147:G147"/>
    <mergeCell ref="H147:I147"/>
    <mergeCell ref="F163:G163"/>
    <mergeCell ref="H163:I163"/>
    <mergeCell ref="F164:G164"/>
    <mergeCell ref="H164:I164"/>
    <mergeCell ref="F165:G165"/>
    <mergeCell ref="H165:I165"/>
    <mergeCell ref="H155:I155"/>
    <mergeCell ref="F156:G156"/>
    <mergeCell ref="H156:I156"/>
    <mergeCell ref="F160:G160"/>
    <mergeCell ref="H160:I160"/>
    <mergeCell ref="F162:G162"/>
    <mergeCell ref="H162:I162"/>
    <mergeCell ref="F169:G169"/>
    <mergeCell ref="H169:I169"/>
    <mergeCell ref="F170:G170"/>
    <mergeCell ref="H170:I170"/>
    <mergeCell ref="F171:G171"/>
    <mergeCell ref="H171:I171"/>
    <mergeCell ref="F166:G166"/>
    <mergeCell ref="H166:I166"/>
    <mergeCell ref="F167:G167"/>
    <mergeCell ref="H167:I167"/>
    <mergeCell ref="F168:G168"/>
    <mergeCell ref="H168:I168"/>
    <mergeCell ref="F176:G176"/>
    <mergeCell ref="H176:I176"/>
    <mergeCell ref="F177:G177"/>
    <mergeCell ref="H177:I177"/>
    <mergeCell ref="F178:G178"/>
    <mergeCell ref="H178:I178"/>
    <mergeCell ref="F172:G172"/>
    <mergeCell ref="H172:I172"/>
    <mergeCell ref="F174:G174"/>
    <mergeCell ref="H174:I174"/>
    <mergeCell ref="F175:G175"/>
    <mergeCell ref="H175:I175"/>
    <mergeCell ref="H190:I190"/>
    <mergeCell ref="H191:I191"/>
    <mergeCell ref="H192:I192"/>
    <mergeCell ref="H193:I193"/>
    <mergeCell ref="H194:I194"/>
    <mergeCell ref="H195:I195"/>
    <mergeCell ref="F179:G179"/>
    <mergeCell ref="H179:I179"/>
    <mergeCell ref="F181:G181"/>
    <mergeCell ref="H181:I181"/>
    <mergeCell ref="H186:I186"/>
    <mergeCell ref="H188:I188"/>
    <mergeCell ref="H203:I203"/>
    <mergeCell ref="F212:G212"/>
    <mergeCell ref="F214:G214"/>
    <mergeCell ref="F216:G216"/>
    <mergeCell ref="H216:I216"/>
    <mergeCell ref="H217:I217"/>
    <mergeCell ref="H196:I196"/>
    <mergeCell ref="H198:I198"/>
    <mergeCell ref="H199:I199"/>
    <mergeCell ref="H200:I200"/>
    <mergeCell ref="H201:I201"/>
    <mergeCell ref="H202:I202"/>
    <mergeCell ref="H224:I224"/>
    <mergeCell ref="H225:I225"/>
    <mergeCell ref="F226:I226"/>
    <mergeCell ref="F234:G234"/>
    <mergeCell ref="H234:I234"/>
    <mergeCell ref="H235:I235"/>
    <mergeCell ref="H218:I218"/>
    <mergeCell ref="H219:I219"/>
    <mergeCell ref="H220:I220"/>
    <mergeCell ref="H221:I221"/>
    <mergeCell ref="H222:I222"/>
    <mergeCell ref="H223:I223"/>
    <mergeCell ref="F256:G256"/>
    <mergeCell ref="H256:I256"/>
    <mergeCell ref="H257:I257"/>
    <mergeCell ref="H236:I236"/>
    <mergeCell ref="H237:I237"/>
    <mergeCell ref="H238:I238"/>
    <mergeCell ref="H239:I239"/>
    <mergeCell ref="H240:I240"/>
    <mergeCell ref="H242:I242"/>
    <mergeCell ref="H258:I258"/>
    <mergeCell ref="H259:I259"/>
    <mergeCell ref="H260:I260"/>
    <mergeCell ref="H261:I261"/>
    <mergeCell ref="H262:I262"/>
    <mergeCell ref="H263:I263"/>
    <mergeCell ref="H243:I243"/>
    <mergeCell ref="H244:I244"/>
    <mergeCell ref="H245:I245"/>
    <mergeCell ref="H271:I271"/>
    <mergeCell ref="F272:G272"/>
    <mergeCell ref="H272:I272"/>
    <mergeCell ref="H264:I264"/>
    <mergeCell ref="H265:I265"/>
    <mergeCell ref="H266:I266"/>
    <mergeCell ref="H268:I268"/>
    <mergeCell ref="H269:I269"/>
    <mergeCell ref="H270:I270"/>
    <mergeCell ref="H281:I281"/>
    <mergeCell ref="H282:I282"/>
    <mergeCell ref="H283:I283"/>
    <mergeCell ref="H284:I284"/>
    <mergeCell ref="H285:I285"/>
    <mergeCell ref="H286:I286"/>
    <mergeCell ref="F278:G278"/>
    <mergeCell ref="H278:I278"/>
    <mergeCell ref="H279:I279"/>
    <mergeCell ref="H280:I280"/>
    <mergeCell ref="H293:I293"/>
    <mergeCell ref="H294:I294"/>
    <mergeCell ref="H295:I295"/>
    <mergeCell ref="H296:I296"/>
    <mergeCell ref="H297:I297"/>
    <mergeCell ref="H298:I298"/>
    <mergeCell ref="H287:I287"/>
    <mergeCell ref="H288:I288"/>
    <mergeCell ref="H289:I289"/>
    <mergeCell ref="H290:I290"/>
    <mergeCell ref="H291:I291"/>
    <mergeCell ref="H292:I292"/>
    <mergeCell ref="H304:I304"/>
    <mergeCell ref="H305:I305"/>
    <mergeCell ref="H306:I306"/>
    <mergeCell ref="H307:I307"/>
    <mergeCell ref="F311:G311"/>
    <mergeCell ref="H311:I311"/>
    <mergeCell ref="H299:I299"/>
    <mergeCell ref="F300:G300"/>
    <mergeCell ref="H300:I300"/>
    <mergeCell ref="F301:I301"/>
    <mergeCell ref="F303:G303"/>
    <mergeCell ref="H303:I303"/>
    <mergeCell ref="F324:G324"/>
    <mergeCell ref="H327:I327"/>
    <mergeCell ref="F329:G329"/>
    <mergeCell ref="H329:I329"/>
    <mergeCell ref="H312:I312"/>
    <mergeCell ref="H313:I313"/>
    <mergeCell ref="H314:I314"/>
    <mergeCell ref="H315:I315"/>
    <mergeCell ref="F316:G316"/>
    <mergeCell ref="H316:I316"/>
    <mergeCell ref="H111:I111"/>
    <mergeCell ref="H341:I341"/>
    <mergeCell ref="H342:I342"/>
    <mergeCell ref="H343:I343"/>
    <mergeCell ref="F107:G107"/>
    <mergeCell ref="H107:I107"/>
    <mergeCell ref="F108:G108"/>
    <mergeCell ref="F109:G109"/>
    <mergeCell ref="H109:I109"/>
    <mergeCell ref="F336:G336"/>
    <mergeCell ref="H336:I336"/>
    <mergeCell ref="F338:G338"/>
    <mergeCell ref="H338:I338"/>
    <mergeCell ref="F340:G340"/>
    <mergeCell ref="H340:I340"/>
    <mergeCell ref="H330:I330"/>
    <mergeCell ref="H331:I331"/>
    <mergeCell ref="H332:I332"/>
    <mergeCell ref="H333:I333"/>
    <mergeCell ref="H334:I334"/>
    <mergeCell ref="F335:G335"/>
    <mergeCell ref="H335:I335"/>
    <mergeCell ref="H321:I321"/>
    <mergeCell ref="F322:G3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31"/>
  <sheetViews>
    <sheetView topLeftCell="A304" zoomScale="70" zoomScaleNormal="70" workbookViewId="0">
      <selection activeCell="B4" sqref="B4"/>
    </sheetView>
  </sheetViews>
  <sheetFormatPr defaultRowHeight="15.75"/>
  <cols>
    <col min="1" max="1" width="9.7109375" style="51" customWidth="1"/>
    <col min="2" max="2" width="12.7109375" style="51" customWidth="1"/>
    <col min="3" max="3" width="21.5703125" style="51" customWidth="1"/>
    <col min="4" max="4" width="10.7109375" style="53" customWidth="1"/>
    <col min="5" max="5" width="27.85546875" style="53" customWidth="1"/>
    <col min="6" max="6" width="7.85546875" style="53" customWidth="1"/>
    <col min="7" max="7" width="6.85546875" style="53" customWidth="1"/>
    <col min="8" max="8" width="5.7109375" style="53" customWidth="1"/>
    <col min="9" max="9" width="4.7109375" style="53" customWidth="1"/>
    <col min="10" max="11" width="9.140625" style="3" customWidth="1"/>
    <col min="12" max="16384" width="9.140625" style="53"/>
  </cols>
  <sheetData>
    <row r="1" spans="1:11">
      <c r="B1" s="52"/>
      <c r="E1" s="53" t="s">
        <v>88</v>
      </c>
      <c r="F1" s="53" t="s">
        <v>89</v>
      </c>
      <c r="G1" s="53">
        <f>6.7/45*1000</f>
        <v>148.88888888888891</v>
      </c>
      <c r="H1" s="53" t="s">
        <v>89</v>
      </c>
      <c r="I1" s="53">
        <f>6.7/55*1000</f>
        <v>121.81818181818183</v>
      </c>
    </row>
    <row r="2" spans="1:11" s="57" customFormat="1" ht="47.25">
      <c r="A2" s="54" t="s">
        <v>90</v>
      </c>
      <c r="B2" s="55">
        <f>(B4+B29+B75+B102+B130+B183+B205+B236+B263+B309)/10</f>
        <v>57.642873265789468</v>
      </c>
      <c r="C2" s="56"/>
      <c r="D2" s="57" t="s">
        <v>91</v>
      </c>
      <c r="J2" s="58" t="s">
        <v>92</v>
      </c>
      <c r="K2" s="58" t="s">
        <v>93</v>
      </c>
    </row>
    <row r="3" spans="1:11">
      <c r="A3" s="51" t="s">
        <v>19</v>
      </c>
      <c r="B3" s="51" t="s">
        <v>71</v>
      </c>
      <c r="C3" s="51" t="s">
        <v>94</v>
      </c>
      <c r="D3" s="53">
        <v>100</v>
      </c>
      <c r="J3" s="3">
        <v>65</v>
      </c>
      <c r="K3" s="59">
        <f>J3*D3/1000</f>
        <v>6.5</v>
      </c>
    </row>
    <row r="4" spans="1:11">
      <c r="A4" s="51" t="s">
        <v>95</v>
      </c>
      <c r="B4" s="60">
        <f>K3+K4+K5+K17+K26</f>
        <v>38.745930000000001</v>
      </c>
      <c r="C4" s="51" t="s">
        <v>96</v>
      </c>
      <c r="D4" s="53">
        <v>20</v>
      </c>
      <c r="F4" s="53">
        <v>21</v>
      </c>
      <c r="J4" s="3">
        <v>498</v>
      </c>
      <c r="K4" s="59">
        <f>F4*J4/1000</f>
        <v>10.458</v>
      </c>
    </row>
    <row r="5" spans="1:11">
      <c r="B5" s="51">
        <f>D3+D4+D5+D17+D26</f>
        <v>560</v>
      </c>
      <c r="C5" s="51" t="s">
        <v>97</v>
      </c>
      <c r="D5" s="53">
        <v>200</v>
      </c>
      <c r="E5" s="378" t="s">
        <v>98</v>
      </c>
      <c r="F5" s="203" t="s">
        <v>99</v>
      </c>
      <c r="G5" s="204"/>
      <c r="H5" s="204"/>
      <c r="I5" s="204"/>
      <c r="K5" s="59">
        <f>SUM(K8:K13)</f>
        <v>12.429930000000001</v>
      </c>
    </row>
    <row r="6" spans="1:11">
      <c r="E6" s="379"/>
      <c r="F6" s="205">
        <v>1</v>
      </c>
      <c r="G6" s="206"/>
      <c r="H6" s="206"/>
      <c r="I6" s="207"/>
    </row>
    <row r="7" spans="1:11">
      <c r="E7" s="380"/>
      <c r="F7" s="136" t="s">
        <v>100</v>
      </c>
      <c r="G7" s="137"/>
      <c r="H7" s="136" t="s">
        <v>101</v>
      </c>
      <c r="I7" s="137"/>
    </row>
    <row r="8" spans="1:11">
      <c r="E8" s="61" t="s">
        <v>102</v>
      </c>
      <c r="F8" s="62">
        <v>40</v>
      </c>
      <c r="G8" s="63"/>
      <c r="H8" s="62">
        <f t="shared" ref="H8:H13" si="0">F8</f>
        <v>40</v>
      </c>
      <c r="I8" s="63"/>
      <c r="J8" s="3">
        <v>40</v>
      </c>
      <c r="K8" s="3">
        <f t="shared" ref="K8:K13" si="1">J8*F8/1000</f>
        <v>1.6</v>
      </c>
    </row>
    <row r="9" spans="1:11">
      <c r="E9" s="64" t="s">
        <v>103</v>
      </c>
      <c r="F9" s="65">
        <v>140</v>
      </c>
      <c r="G9" s="66"/>
      <c r="H9" s="65">
        <f t="shared" si="0"/>
        <v>140</v>
      </c>
      <c r="I9" s="66"/>
      <c r="J9" s="3">
        <v>57.5</v>
      </c>
      <c r="K9" s="3">
        <f t="shared" si="1"/>
        <v>8.0500000000000007</v>
      </c>
    </row>
    <row r="10" spans="1:11">
      <c r="E10" s="64" t="s">
        <v>104</v>
      </c>
      <c r="F10" s="65">
        <v>60</v>
      </c>
      <c r="G10" s="66"/>
      <c r="H10" s="65">
        <f t="shared" si="0"/>
        <v>60</v>
      </c>
      <c r="I10" s="66"/>
      <c r="K10" s="3">
        <f t="shared" si="1"/>
        <v>0</v>
      </c>
    </row>
    <row r="11" spans="1:11">
      <c r="E11" s="64" t="s">
        <v>105</v>
      </c>
      <c r="F11" s="65">
        <v>5</v>
      </c>
      <c r="G11" s="66"/>
      <c r="H11" s="65">
        <f t="shared" si="0"/>
        <v>5</v>
      </c>
      <c r="I11" s="66"/>
      <c r="J11" s="3">
        <v>497.15</v>
      </c>
      <c r="K11" s="3">
        <f t="shared" si="1"/>
        <v>2.4857499999999999</v>
      </c>
    </row>
    <row r="12" spans="1:11">
      <c r="E12" s="64" t="s">
        <v>106</v>
      </c>
      <c r="F12" s="65">
        <v>0.3</v>
      </c>
      <c r="G12" s="66"/>
      <c r="H12" s="65">
        <f t="shared" si="0"/>
        <v>0.3</v>
      </c>
      <c r="I12" s="66"/>
      <c r="J12" s="3">
        <v>17</v>
      </c>
      <c r="K12" s="3">
        <f t="shared" si="1"/>
        <v>5.0999999999999995E-3</v>
      </c>
    </row>
    <row r="13" spans="1:11">
      <c r="E13" s="64" t="s">
        <v>107</v>
      </c>
      <c r="F13" s="65">
        <v>4</v>
      </c>
      <c r="G13" s="66"/>
      <c r="H13" s="65">
        <f t="shared" si="0"/>
        <v>4</v>
      </c>
      <c r="I13" s="66"/>
      <c r="J13" s="3">
        <v>72.27</v>
      </c>
      <c r="K13" s="3">
        <f t="shared" si="1"/>
        <v>0.28908</v>
      </c>
    </row>
    <row r="14" spans="1:11">
      <c r="E14" s="64"/>
      <c r="F14" s="67"/>
      <c r="G14" s="68"/>
      <c r="H14" s="67"/>
      <c r="I14" s="68"/>
    </row>
    <row r="15" spans="1:11">
      <c r="A15" s="69"/>
      <c r="E15" s="70" t="s">
        <v>108</v>
      </c>
      <c r="F15" s="117" t="s">
        <v>109</v>
      </c>
      <c r="G15" s="118"/>
      <c r="H15" s="208">
        <v>200</v>
      </c>
      <c r="I15" s="209"/>
    </row>
    <row r="17" spans="1:26">
      <c r="C17" s="51" t="s">
        <v>110</v>
      </c>
      <c r="D17" s="53">
        <v>200</v>
      </c>
      <c r="E17" s="373" t="s">
        <v>98</v>
      </c>
      <c r="F17" s="210" t="s">
        <v>99</v>
      </c>
      <c r="G17" s="211"/>
      <c r="H17" s="211"/>
      <c r="I17" s="211"/>
      <c r="K17" s="71">
        <f>K20+K21+K22+K23</f>
        <v>7.3504000000000005</v>
      </c>
    </row>
    <row r="18" spans="1:26">
      <c r="E18" s="374"/>
      <c r="F18" s="376">
        <v>1</v>
      </c>
      <c r="G18" s="376"/>
      <c r="H18" s="376"/>
      <c r="I18" s="376"/>
    </row>
    <row r="19" spans="1:26">
      <c r="E19" s="375"/>
      <c r="F19" s="377" t="s">
        <v>100</v>
      </c>
      <c r="G19" s="377"/>
      <c r="H19" s="377" t="s">
        <v>101</v>
      </c>
      <c r="I19" s="377"/>
    </row>
    <row r="20" spans="1:26">
      <c r="E20" s="72" t="s">
        <v>16</v>
      </c>
      <c r="F20" s="73">
        <v>4</v>
      </c>
      <c r="G20" s="74"/>
      <c r="H20" s="383">
        <f>F20</f>
        <v>4</v>
      </c>
      <c r="I20" s="383"/>
      <c r="J20" s="3">
        <v>272</v>
      </c>
      <c r="K20" s="3">
        <f>F20*J20/1000</f>
        <v>1.0880000000000001</v>
      </c>
    </row>
    <row r="21" spans="1:26">
      <c r="E21" s="75" t="s">
        <v>103</v>
      </c>
      <c r="F21" s="76">
        <v>100</v>
      </c>
      <c r="G21" s="77"/>
      <c r="H21" s="383">
        <f>F21</f>
        <v>100</v>
      </c>
      <c r="I21" s="383"/>
      <c r="J21" s="3">
        <v>48.17</v>
      </c>
      <c r="K21" s="3">
        <f>F21*J21/1000</f>
        <v>4.8170000000000002</v>
      </c>
    </row>
    <row r="22" spans="1:26">
      <c r="E22" s="75" t="s">
        <v>104</v>
      </c>
      <c r="F22" s="76">
        <v>110</v>
      </c>
      <c r="G22" s="77"/>
      <c r="H22" s="383">
        <f>F22</f>
        <v>110</v>
      </c>
      <c r="I22" s="383"/>
      <c r="K22" s="3">
        <f>F22*J22/1000</f>
        <v>0</v>
      </c>
    </row>
    <row r="23" spans="1:26">
      <c r="E23" s="75" t="s">
        <v>111</v>
      </c>
      <c r="F23" s="78">
        <v>20</v>
      </c>
      <c r="G23" s="79"/>
      <c r="H23" s="383">
        <f>F23</f>
        <v>20</v>
      </c>
      <c r="I23" s="383"/>
      <c r="J23" s="3">
        <v>72.27</v>
      </c>
      <c r="K23" s="3">
        <f>F23*J23/1000</f>
        <v>1.4453999999999998</v>
      </c>
    </row>
    <row r="24" spans="1:26">
      <c r="E24" s="80" t="s">
        <v>108</v>
      </c>
      <c r="F24" s="381" t="s">
        <v>109</v>
      </c>
      <c r="G24" s="381"/>
      <c r="H24" s="382">
        <v>200</v>
      </c>
      <c r="I24" s="382"/>
    </row>
    <row r="26" spans="1:26">
      <c r="C26" s="51" t="s">
        <v>112</v>
      </c>
      <c r="D26" s="53">
        <v>40</v>
      </c>
      <c r="J26" s="3">
        <v>50.19</v>
      </c>
      <c r="K26" s="71">
        <f>J26*D26/1000</f>
        <v>2.0076000000000001</v>
      </c>
    </row>
    <row r="27" spans="1:26" ht="16.5" thickBot="1">
      <c r="A27" s="81"/>
      <c r="B27" s="81"/>
      <c r="C27" s="81"/>
      <c r="D27" s="82"/>
      <c r="E27" s="82"/>
      <c r="F27" s="82"/>
      <c r="G27" s="82"/>
      <c r="H27" s="82"/>
      <c r="I27" s="82"/>
      <c r="J27" s="83"/>
      <c r="K27" s="83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>
      <c r="A28" s="51" t="s">
        <v>20</v>
      </c>
      <c r="B28" s="51" t="s">
        <v>71</v>
      </c>
      <c r="C28" s="216"/>
      <c r="D28" s="216"/>
      <c r="E28" s="216"/>
      <c r="F28" s="216"/>
      <c r="G28" s="216"/>
      <c r="H28" s="216"/>
      <c r="I28" s="216"/>
      <c r="J28" s="219"/>
      <c r="K28" s="219"/>
    </row>
    <row r="29" spans="1:26">
      <c r="A29" s="51" t="s">
        <v>113</v>
      </c>
      <c r="B29" s="85">
        <f>K29+K33+K58+K64+K71</f>
        <v>60.325489999999995</v>
      </c>
      <c r="C29" s="215" t="s">
        <v>336</v>
      </c>
      <c r="D29" s="216"/>
      <c r="E29" s="215" t="s">
        <v>335</v>
      </c>
      <c r="F29" s="218">
        <v>40</v>
      </c>
      <c r="G29" s="218"/>
      <c r="H29" s="216"/>
      <c r="I29" s="216"/>
      <c r="J29" s="219">
        <v>140</v>
      </c>
      <c r="K29" s="84">
        <f>F29*J29/1000</f>
        <v>5.6</v>
      </c>
    </row>
    <row r="30" spans="1:26">
      <c r="B30" s="51">
        <f>D28+D33+D58+D64+D71</f>
        <v>480</v>
      </c>
      <c r="C30" s="215"/>
      <c r="D30" s="216"/>
      <c r="E30" s="217"/>
      <c r="F30" s="218"/>
      <c r="G30" s="218"/>
      <c r="H30" s="216"/>
      <c r="I30" s="216"/>
      <c r="J30" s="219"/>
      <c r="K30" s="219"/>
    </row>
    <row r="31" spans="1:26">
      <c r="B31" s="52"/>
      <c r="C31" s="215"/>
      <c r="D31" s="216"/>
      <c r="E31" s="217"/>
      <c r="F31" s="218"/>
      <c r="G31" s="218"/>
      <c r="H31" s="216"/>
      <c r="I31" s="216"/>
      <c r="J31" s="219"/>
      <c r="K31" s="219"/>
    </row>
    <row r="32" spans="1:26">
      <c r="A32" s="53"/>
      <c r="B32" s="53"/>
      <c r="K32" s="89"/>
    </row>
    <row r="33" spans="1:11" ht="15">
      <c r="A33" s="53"/>
      <c r="B33" s="53"/>
      <c r="C33" s="90" t="s">
        <v>114</v>
      </c>
      <c r="D33" s="53">
        <v>90</v>
      </c>
      <c r="F33" s="376">
        <v>1</v>
      </c>
      <c r="G33" s="376"/>
      <c r="H33" s="376"/>
      <c r="I33" s="376"/>
      <c r="K33" s="84">
        <f>SUM(K35:K54)</f>
        <v>39.507389999999994</v>
      </c>
    </row>
    <row r="34" spans="1:11">
      <c r="A34" s="53"/>
      <c r="B34" s="53"/>
      <c r="F34" s="399" t="s">
        <v>100</v>
      </c>
      <c r="G34" s="377"/>
      <c r="H34" s="399" t="s">
        <v>101</v>
      </c>
      <c r="I34" s="377"/>
    </row>
    <row r="35" spans="1:11">
      <c r="A35" s="53"/>
      <c r="B35" s="53"/>
      <c r="E35" s="91" t="s">
        <v>115</v>
      </c>
      <c r="F35" s="91">
        <v>63.36</v>
      </c>
      <c r="G35" s="92"/>
      <c r="H35" s="341">
        <v>46.62</v>
      </c>
      <c r="I35" s="341"/>
      <c r="J35" s="3">
        <v>548</v>
      </c>
      <c r="K35" s="3">
        <f>F35*J35/1000</f>
        <v>34.72128</v>
      </c>
    </row>
    <row r="36" spans="1:11">
      <c r="A36" s="53"/>
      <c r="B36" s="53"/>
      <c r="E36" s="91" t="s">
        <v>103</v>
      </c>
      <c r="F36" s="91">
        <v>15.12</v>
      </c>
      <c r="G36" s="92"/>
      <c r="H36" s="341">
        <v>15.12</v>
      </c>
      <c r="I36" s="341"/>
      <c r="J36" s="3">
        <v>57.5</v>
      </c>
      <c r="K36" s="3">
        <f>F36*J36/1000</f>
        <v>0.86939999999999995</v>
      </c>
    </row>
    <row r="37" spans="1:11">
      <c r="A37" s="53"/>
      <c r="B37" s="53"/>
      <c r="E37" s="91" t="s">
        <v>116</v>
      </c>
      <c r="F37" s="91">
        <v>15.12</v>
      </c>
      <c r="G37" s="92"/>
      <c r="H37" s="341">
        <v>15.12</v>
      </c>
      <c r="I37" s="341"/>
    </row>
    <row r="38" spans="1:11">
      <c r="A38" s="53"/>
      <c r="B38" s="53"/>
      <c r="E38" s="91" t="s">
        <v>117</v>
      </c>
      <c r="F38" s="91">
        <v>11.34</v>
      </c>
      <c r="G38" s="92"/>
      <c r="H38" s="341">
        <v>11.34</v>
      </c>
      <c r="I38" s="341"/>
      <c r="J38" s="3">
        <v>50.09</v>
      </c>
      <c r="K38" s="3">
        <f>F38*J38/1000</f>
        <v>0.5680206000000001</v>
      </c>
    </row>
    <row r="39" spans="1:11">
      <c r="A39" s="53"/>
      <c r="B39" s="53"/>
      <c r="E39" s="91" t="s">
        <v>118</v>
      </c>
      <c r="F39" s="91">
        <v>6.3</v>
      </c>
      <c r="G39" s="92"/>
      <c r="H39" s="341">
        <v>6.3</v>
      </c>
      <c r="I39" s="341"/>
      <c r="J39" s="3">
        <v>200</v>
      </c>
      <c r="K39" s="3">
        <f>F39*J39/1000</f>
        <v>1.26</v>
      </c>
    </row>
    <row r="40" spans="1:11">
      <c r="A40" s="53"/>
      <c r="B40" s="53"/>
      <c r="E40" s="91" t="s">
        <v>119</v>
      </c>
      <c r="F40" s="91" t="s">
        <v>109</v>
      </c>
      <c r="G40" s="92"/>
      <c r="H40" s="341">
        <v>78.12</v>
      </c>
      <c r="I40" s="341"/>
    </row>
    <row r="41" spans="1:11">
      <c r="A41" s="53"/>
      <c r="B41" s="53"/>
      <c r="E41" s="91" t="s">
        <v>5</v>
      </c>
      <c r="F41" s="93">
        <v>3.78</v>
      </c>
      <c r="G41" s="94"/>
      <c r="H41" s="341">
        <v>3.78</v>
      </c>
      <c r="I41" s="341"/>
      <c r="J41" s="3">
        <v>152</v>
      </c>
      <c r="K41" s="3">
        <f>F41*J41/1000</f>
        <v>0.57455999999999996</v>
      </c>
    </row>
    <row r="42" spans="1:11" ht="25.5">
      <c r="A42" s="53"/>
      <c r="B42" s="53"/>
      <c r="E42" s="91" t="s">
        <v>120</v>
      </c>
      <c r="F42" s="91" t="s">
        <v>109</v>
      </c>
      <c r="G42" s="92"/>
      <c r="H42" s="341" t="s">
        <v>109</v>
      </c>
      <c r="I42" s="341"/>
    </row>
    <row r="43" spans="1:11">
      <c r="A43" s="53"/>
      <c r="B43" s="53"/>
      <c r="E43" s="91" t="s">
        <v>121</v>
      </c>
      <c r="F43" s="91" t="s">
        <v>109</v>
      </c>
      <c r="G43" s="92"/>
      <c r="H43" s="341">
        <v>63</v>
      </c>
      <c r="I43" s="341"/>
    </row>
    <row r="44" spans="1:11">
      <c r="A44" s="53"/>
      <c r="B44" s="53"/>
      <c r="E44" s="91" t="s">
        <v>122</v>
      </c>
      <c r="F44" s="91" t="s">
        <v>109</v>
      </c>
      <c r="G44" s="92"/>
      <c r="H44" s="341">
        <v>27</v>
      </c>
      <c r="I44" s="341"/>
    </row>
    <row r="45" spans="1:11">
      <c r="A45" s="53"/>
      <c r="B45" s="53"/>
      <c r="E45" s="91" t="s">
        <v>123</v>
      </c>
      <c r="F45" s="91">
        <v>24.3</v>
      </c>
      <c r="G45" s="92"/>
      <c r="H45" s="341">
        <v>24.3</v>
      </c>
      <c r="I45" s="341"/>
    </row>
    <row r="46" spans="1:11">
      <c r="A46" s="53"/>
      <c r="B46" s="53"/>
      <c r="E46" s="91" t="s">
        <v>116</v>
      </c>
      <c r="F46" s="91">
        <v>24.3</v>
      </c>
      <c r="G46" s="92"/>
      <c r="H46" s="341">
        <v>24.3</v>
      </c>
      <c r="I46" s="341"/>
    </row>
    <row r="47" spans="1:11">
      <c r="A47" s="53"/>
      <c r="B47" s="53"/>
      <c r="E47" s="91" t="s">
        <v>105</v>
      </c>
      <c r="F47" s="95">
        <v>1.26</v>
      </c>
      <c r="G47" s="96"/>
      <c r="H47" s="341">
        <v>1.26</v>
      </c>
      <c r="I47" s="341"/>
      <c r="J47" s="3">
        <v>497.15</v>
      </c>
      <c r="K47" s="3">
        <f t="shared" ref="K47:K54" si="2">F47*J47/1000</f>
        <v>0.62640899999999999</v>
      </c>
    </row>
    <row r="48" spans="1:11">
      <c r="A48" s="53"/>
      <c r="B48" s="53"/>
      <c r="E48" s="91" t="s">
        <v>34</v>
      </c>
      <c r="F48" s="91">
        <v>1.26</v>
      </c>
      <c r="G48" s="92"/>
      <c r="H48" s="341">
        <v>1.26</v>
      </c>
      <c r="I48" s="341"/>
      <c r="J48" s="3">
        <v>37</v>
      </c>
      <c r="K48" s="3">
        <f t="shared" si="2"/>
        <v>4.6619999999999995E-2</v>
      </c>
    </row>
    <row r="49" spans="1:11">
      <c r="A49" s="53"/>
      <c r="B49" s="53"/>
      <c r="E49" s="91" t="s">
        <v>45</v>
      </c>
      <c r="F49" s="91">
        <v>2.0699999999999998</v>
      </c>
      <c r="G49" s="92"/>
      <c r="H49" s="341">
        <v>1.62</v>
      </c>
      <c r="I49" s="341"/>
      <c r="J49" s="3">
        <v>30</v>
      </c>
      <c r="K49" s="3">
        <f t="shared" si="2"/>
        <v>6.2099999999999995E-2</v>
      </c>
    </row>
    <row r="50" spans="1:11">
      <c r="A50" s="53"/>
      <c r="B50" s="53"/>
      <c r="E50" s="91" t="s">
        <v>44</v>
      </c>
      <c r="F50" s="91">
        <v>0.63</v>
      </c>
      <c r="G50" s="92"/>
      <c r="H50" s="341">
        <v>0.54</v>
      </c>
      <c r="I50" s="341"/>
      <c r="J50" s="3">
        <v>20</v>
      </c>
      <c r="K50" s="3">
        <f t="shared" si="2"/>
        <v>1.26E-2</v>
      </c>
    </row>
    <row r="51" spans="1:11">
      <c r="A51" s="53"/>
      <c r="B51" s="53"/>
      <c r="E51" s="91" t="s">
        <v>105</v>
      </c>
      <c r="F51" s="95">
        <v>0.45</v>
      </c>
      <c r="G51" s="96"/>
      <c r="H51" s="341">
        <v>0.45</v>
      </c>
      <c r="I51" s="341"/>
      <c r="J51" s="3">
        <v>497.15</v>
      </c>
      <c r="K51" s="3">
        <f t="shared" si="2"/>
        <v>0.22371750000000001</v>
      </c>
    </row>
    <row r="52" spans="1:11">
      <c r="A52" s="53"/>
      <c r="B52" s="53"/>
      <c r="E52" s="91" t="s">
        <v>124</v>
      </c>
      <c r="F52" s="91">
        <v>0.09</v>
      </c>
      <c r="G52" s="92"/>
      <c r="H52" s="341">
        <v>0.09</v>
      </c>
      <c r="I52" s="341"/>
      <c r="J52" s="3">
        <v>17</v>
      </c>
      <c r="K52" s="3">
        <f t="shared" si="2"/>
        <v>1.5300000000000001E-3</v>
      </c>
    </row>
    <row r="53" spans="1:11">
      <c r="A53" s="53"/>
      <c r="B53" s="53"/>
      <c r="E53" s="91" t="s">
        <v>125</v>
      </c>
      <c r="F53" s="91">
        <v>0.27</v>
      </c>
      <c r="G53" s="92"/>
      <c r="H53" s="341">
        <v>0.27</v>
      </c>
      <c r="I53" s="341"/>
      <c r="J53" s="3">
        <v>72.27</v>
      </c>
      <c r="K53" s="3">
        <f t="shared" si="2"/>
        <v>1.9512900000000003E-2</v>
      </c>
    </row>
    <row r="54" spans="1:11">
      <c r="A54" s="53"/>
      <c r="B54" s="53"/>
      <c r="E54" s="91" t="s">
        <v>126</v>
      </c>
      <c r="F54" s="91">
        <v>3.78</v>
      </c>
      <c r="G54" s="92"/>
      <c r="H54" s="341">
        <v>3.78</v>
      </c>
      <c r="I54" s="341"/>
      <c r="J54" s="3">
        <v>138</v>
      </c>
      <c r="K54" s="3">
        <f t="shared" si="2"/>
        <v>0.52163999999999999</v>
      </c>
    </row>
    <row r="55" spans="1:11">
      <c r="A55" s="53"/>
      <c r="B55" s="53"/>
      <c r="E55" s="97" t="s">
        <v>127</v>
      </c>
      <c r="F55" s="396">
        <v>90</v>
      </c>
      <c r="G55" s="397"/>
      <c r="H55" s="397"/>
      <c r="I55" s="398"/>
    </row>
    <row r="56" spans="1:11">
      <c r="A56" s="53"/>
      <c r="B56" s="53"/>
      <c r="E56" s="98"/>
      <c r="F56" s="99"/>
      <c r="G56" s="99"/>
      <c r="H56" s="100"/>
      <c r="I56" s="100"/>
    </row>
    <row r="58" spans="1:11">
      <c r="A58" s="53"/>
      <c r="B58" s="53"/>
      <c r="C58" s="51" t="s">
        <v>128</v>
      </c>
      <c r="D58" s="53">
        <v>150</v>
      </c>
      <c r="F58" s="333" t="s">
        <v>100</v>
      </c>
      <c r="G58" s="333"/>
      <c r="H58" s="333" t="s">
        <v>101</v>
      </c>
      <c r="I58" s="333"/>
      <c r="K58" s="84">
        <f>K59+K60+K61</f>
        <v>4.70045</v>
      </c>
    </row>
    <row r="59" spans="1:11">
      <c r="E59" s="61" t="s">
        <v>129</v>
      </c>
      <c r="F59" s="62">
        <v>38</v>
      </c>
      <c r="G59" s="63"/>
      <c r="H59" s="329">
        <v>38</v>
      </c>
      <c r="I59" s="329"/>
      <c r="J59" s="3">
        <v>84</v>
      </c>
      <c r="K59" s="3">
        <f>J59*F59/1000</f>
        <v>3.1920000000000002</v>
      </c>
    </row>
    <row r="60" spans="1:11">
      <c r="E60" s="101" t="s">
        <v>105</v>
      </c>
      <c r="F60" s="102">
        <v>3</v>
      </c>
      <c r="G60" s="103"/>
      <c r="H60" s="330">
        <v>3</v>
      </c>
      <c r="I60" s="331"/>
      <c r="J60" s="3">
        <v>497.15</v>
      </c>
      <c r="K60" s="3">
        <f>J60*F60/1000</f>
        <v>1.4914499999999997</v>
      </c>
    </row>
    <row r="61" spans="1:11">
      <c r="E61" s="61" t="s">
        <v>106</v>
      </c>
      <c r="F61" s="67">
        <v>1</v>
      </c>
      <c r="G61" s="68"/>
      <c r="H61" s="329">
        <v>1</v>
      </c>
      <c r="I61" s="329"/>
      <c r="J61" s="3">
        <v>17</v>
      </c>
      <c r="K61" s="3">
        <f>J61*F61/1000</f>
        <v>1.7000000000000001E-2</v>
      </c>
    </row>
    <row r="62" spans="1:11">
      <c r="E62" s="70" t="s">
        <v>108</v>
      </c>
      <c r="F62" s="336" t="s">
        <v>109</v>
      </c>
      <c r="G62" s="336"/>
      <c r="H62" s="332">
        <v>150</v>
      </c>
      <c r="I62" s="332"/>
    </row>
    <row r="64" spans="1:11">
      <c r="C64" s="51" t="s">
        <v>130</v>
      </c>
      <c r="D64" s="53">
        <v>200</v>
      </c>
      <c r="F64" s="333" t="s">
        <v>100</v>
      </c>
      <c r="G64" s="333"/>
      <c r="H64" s="333" t="s">
        <v>101</v>
      </c>
      <c r="I64" s="333"/>
      <c r="K64" s="84">
        <f>SUM(K65:K68)</f>
        <v>8.514050000000001</v>
      </c>
    </row>
    <row r="65" spans="1:24">
      <c r="E65" s="61" t="s">
        <v>131</v>
      </c>
      <c r="F65" s="62">
        <v>4</v>
      </c>
      <c r="G65" s="63"/>
      <c r="H65" s="329">
        <v>4</v>
      </c>
      <c r="I65" s="329"/>
      <c r="J65" s="3">
        <v>420</v>
      </c>
      <c r="K65" s="3">
        <f>J65*F65/1000</f>
        <v>1.68</v>
      </c>
    </row>
    <row r="66" spans="1:24">
      <c r="E66" s="64" t="s">
        <v>107</v>
      </c>
      <c r="F66" s="65">
        <v>15</v>
      </c>
      <c r="G66" s="66"/>
      <c r="H66" s="330">
        <v>15</v>
      </c>
      <c r="I66" s="331"/>
      <c r="J66" s="3">
        <v>72.27</v>
      </c>
      <c r="K66" s="3">
        <f>J66*F66/1000</f>
        <v>1.08405</v>
      </c>
    </row>
    <row r="67" spans="1:24">
      <c r="E67" s="64" t="s">
        <v>65</v>
      </c>
      <c r="F67" s="65">
        <v>100</v>
      </c>
      <c r="G67" s="66"/>
      <c r="H67" s="330">
        <v>100</v>
      </c>
      <c r="I67" s="331"/>
      <c r="J67" s="3">
        <v>57.5</v>
      </c>
      <c r="K67" s="3">
        <f>J67*F67/1000</f>
        <v>5.75</v>
      </c>
    </row>
    <row r="68" spans="1:24">
      <c r="E68" s="64" t="s">
        <v>104</v>
      </c>
      <c r="F68" s="67">
        <v>81</v>
      </c>
      <c r="G68" s="68"/>
      <c r="H68" s="330">
        <v>81</v>
      </c>
      <c r="I68" s="331"/>
      <c r="J68" s="3">
        <v>0</v>
      </c>
      <c r="K68" s="3">
        <f>J68*F68/1000</f>
        <v>0</v>
      </c>
    </row>
    <row r="69" spans="1:24">
      <c r="E69" s="70" t="s">
        <v>108</v>
      </c>
      <c r="F69" s="336" t="s">
        <v>109</v>
      </c>
      <c r="G69" s="336"/>
      <c r="H69" s="332">
        <v>200</v>
      </c>
      <c r="I69" s="332"/>
    </row>
    <row r="71" spans="1:24">
      <c r="C71" s="51" t="s">
        <v>112</v>
      </c>
      <c r="D71" s="53">
        <v>40</v>
      </c>
      <c r="J71" s="3">
        <v>50.09</v>
      </c>
      <c r="K71" s="84">
        <f>J71*D71/1000</f>
        <v>2.0036</v>
      </c>
    </row>
    <row r="72" spans="1:24" ht="16.5" thickBot="1">
      <c r="A72" s="81"/>
      <c r="B72" s="81"/>
      <c r="C72" s="81"/>
      <c r="D72" s="82"/>
      <c r="E72" s="82"/>
      <c r="F72" s="82"/>
      <c r="G72" s="82"/>
      <c r="H72" s="82"/>
      <c r="I72" s="82"/>
      <c r="J72" s="83"/>
      <c r="K72" s="83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</row>
    <row r="73" spans="1:24">
      <c r="C73" s="215"/>
      <c r="D73" s="216"/>
      <c r="E73" s="216"/>
      <c r="F73" s="216"/>
      <c r="G73" s="216"/>
      <c r="H73" s="216"/>
      <c r="I73" s="216"/>
      <c r="J73" s="219"/>
      <c r="K73" s="219"/>
    </row>
    <row r="74" spans="1:24">
      <c r="A74" s="51" t="s">
        <v>21</v>
      </c>
      <c r="B74" s="51" t="s">
        <v>71</v>
      </c>
      <c r="C74" s="51" t="s">
        <v>157</v>
      </c>
      <c r="D74" s="53">
        <v>100</v>
      </c>
      <c r="F74" s="53">
        <v>100</v>
      </c>
      <c r="J74" s="3">
        <v>120</v>
      </c>
      <c r="K74" s="3">
        <f>F74*J74/1000</f>
        <v>12</v>
      </c>
    </row>
    <row r="75" spans="1:24">
      <c r="A75" s="51" t="s">
        <v>132</v>
      </c>
      <c r="B75" s="104">
        <f>K74+K76+K80+K94+K99</f>
        <v>71.125425000000007</v>
      </c>
    </row>
    <row r="76" spans="1:24">
      <c r="A76" s="53"/>
      <c r="B76" s="53">
        <f>D74+D76+D80+D94+D99</f>
        <v>540</v>
      </c>
      <c r="C76" s="51" t="s">
        <v>135</v>
      </c>
      <c r="D76" s="53">
        <v>30</v>
      </c>
      <c r="F76" s="333" t="s">
        <v>100</v>
      </c>
      <c r="G76" s="333"/>
      <c r="H76" s="333" t="s">
        <v>101</v>
      </c>
      <c r="I76" s="333"/>
      <c r="K76" s="44">
        <f>K77</f>
        <v>4.41</v>
      </c>
    </row>
    <row r="77" spans="1:24">
      <c r="A77" s="53"/>
      <c r="B77" s="87"/>
      <c r="E77" s="61" t="s">
        <v>136</v>
      </c>
      <c r="F77" s="105">
        <v>30</v>
      </c>
      <c r="G77" s="106"/>
      <c r="H77" s="329">
        <v>30</v>
      </c>
      <c r="I77" s="329"/>
      <c r="J77" s="3">
        <v>147</v>
      </c>
      <c r="K77" s="3">
        <f>F77*J77/1000</f>
        <v>4.41</v>
      </c>
    </row>
    <row r="78" spans="1:24">
      <c r="A78" s="53"/>
      <c r="B78" s="53"/>
      <c r="F78" s="336" t="s">
        <v>109</v>
      </c>
      <c r="G78" s="336"/>
      <c r="H78" s="332">
        <v>20</v>
      </c>
      <c r="I78" s="332"/>
    </row>
    <row r="80" spans="1:24">
      <c r="A80" s="53"/>
      <c r="B80" s="53"/>
      <c r="C80" s="107" t="s">
        <v>137</v>
      </c>
      <c r="D80" s="53">
        <v>170</v>
      </c>
      <c r="F80" s="108" t="s">
        <v>100</v>
      </c>
      <c r="G80" s="108" t="s">
        <v>101</v>
      </c>
      <c r="H80" s="333"/>
      <c r="I80" s="333"/>
      <c r="K80" s="44">
        <f>K81+K82+K83+K84+K85+K86+K87+K88+K89+K90+K91</f>
        <v>51.075775000000007</v>
      </c>
    </row>
    <row r="81" spans="1:11">
      <c r="A81" s="53"/>
      <c r="B81" s="53"/>
      <c r="E81" s="109" t="s">
        <v>138</v>
      </c>
      <c r="F81" s="110">
        <v>158.1</v>
      </c>
      <c r="G81" s="110">
        <v>158.1</v>
      </c>
      <c r="H81" s="370"/>
      <c r="I81" s="329"/>
      <c r="J81" s="3">
        <v>260</v>
      </c>
      <c r="K81" s="3">
        <f t="shared" ref="K81:K91" si="3">J81*F81/1000</f>
        <v>41.106000000000002</v>
      </c>
    </row>
    <row r="82" spans="1:11">
      <c r="A82" s="53"/>
      <c r="B82" s="53"/>
      <c r="E82" s="109" t="s">
        <v>118</v>
      </c>
      <c r="F82" s="110">
        <v>5.9</v>
      </c>
      <c r="G82" s="110">
        <v>5.9</v>
      </c>
      <c r="H82" s="370"/>
      <c r="I82" s="329"/>
      <c r="J82" s="3">
        <v>200</v>
      </c>
      <c r="K82" s="3">
        <f t="shared" si="3"/>
        <v>1.18</v>
      </c>
    </row>
    <row r="83" spans="1:11">
      <c r="A83" s="53"/>
      <c r="B83" s="53"/>
      <c r="E83" s="109" t="s">
        <v>139</v>
      </c>
      <c r="F83" s="110">
        <v>4.9800000000000004</v>
      </c>
      <c r="G83" s="110">
        <v>4.54</v>
      </c>
      <c r="H83" s="370"/>
      <c r="I83" s="329"/>
      <c r="J83" s="111">
        <v>140</v>
      </c>
      <c r="K83" s="3">
        <f t="shared" si="3"/>
        <v>0.69720000000000004</v>
      </c>
    </row>
    <row r="84" spans="1:11">
      <c r="A84" s="53"/>
      <c r="B84" s="53"/>
      <c r="E84" s="109" t="s">
        <v>37</v>
      </c>
      <c r="F84" s="110">
        <v>11</v>
      </c>
      <c r="G84" s="110">
        <v>11</v>
      </c>
      <c r="H84" s="371"/>
      <c r="I84" s="372"/>
      <c r="J84" s="111">
        <v>40</v>
      </c>
      <c r="K84" s="3">
        <f t="shared" si="3"/>
        <v>0.44</v>
      </c>
    </row>
    <row r="85" spans="1:11">
      <c r="A85" s="53"/>
      <c r="B85" s="53"/>
      <c r="E85" s="109" t="s">
        <v>125</v>
      </c>
      <c r="F85" s="110">
        <v>11</v>
      </c>
      <c r="G85" s="110">
        <v>11</v>
      </c>
      <c r="H85" s="370"/>
      <c r="I85" s="329"/>
      <c r="J85" s="3">
        <v>72.27</v>
      </c>
      <c r="K85" s="3">
        <f t="shared" si="3"/>
        <v>0.79496999999999995</v>
      </c>
    </row>
    <row r="86" spans="1:11">
      <c r="A86" s="53"/>
      <c r="B86" s="53"/>
      <c r="E86" s="109" t="s">
        <v>4</v>
      </c>
      <c r="F86" s="110">
        <v>5.9</v>
      </c>
      <c r="G86" s="110">
        <v>5.9</v>
      </c>
      <c r="H86" s="370"/>
      <c r="I86" s="329"/>
      <c r="J86" s="3">
        <v>174</v>
      </c>
      <c r="K86" s="3">
        <f t="shared" si="3"/>
        <v>1.0266000000000002</v>
      </c>
    </row>
    <row r="87" spans="1:11">
      <c r="E87" s="109" t="s">
        <v>105</v>
      </c>
      <c r="F87" s="110">
        <v>5.9</v>
      </c>
      <c r="G87" s="110">
        <v>5.9</v>
      </c>
      <c r="H87" s="370"/>
      <c r="I87" s="329"/>
      <c r="J87" s="3">
        <v>497.15</v>
      </c>
      <c r="K87" s="3">
        <f t="shared" si="3"/>
        <v>2.9331849999999999</v>
      </c>
    </row>
    <row r="88" spans="1:11">
      <c r="E88" s="109" t="s">
        <v>124</v>
      </c>
      <c r="F88" s="110">
        <v>0.46</v>
      </c>
      <c r="G88" s="110">
        <v>0.46</v>
      </c>
      <c r="H88" s="370"/>
      <c r="I88" s="329"/>
      <c r="J88" s="3">
        <v>17</v>
      </c>
      <c r="K88" s="3">
        <f t="shared" si="3"/>
        <v>7.8200000000000006E-3</v>
      </c>
    </row>
    <row r="89" spans="1:11">
      <c r="E89" s="109" t="s">
        <v>104</v>
      </c>
      <c r="F89" s="110">
        <v>40.799999999999997</v>
      </c>
      <c r="G89" s="110">
        <v>40.799999999999997</v>
      </c>
      <c r="H89" s="370"/>
      <c r="I89" s="329"/>
      <c r="J89" s="3">
        <v>0</v>
      </c>
      <c r="K89" s="3">
        <f t="shared" si="3"/>
        <v>0</v>
      </c>
    </row>
    <row r="90" spans="1:11">
      <c r="E90" s="109" t="s">
        <v>140</v>
      </c>
      <c r="F90" s="110">
        <v>0.05</v>
      </c>
      <c r="G90" s="110">
        <v>0.05</v>
      </c>
      <c r="H90" s="370"/>
      <c r="I90" s="329"/>
      <c r="J90" s="112"/>
      <c r="K90" s="3">
        <f t="shared" si="3"/>
        <v>0</v>
      </c>
    </row>
    <row r="91" spans="1:11">
      <c r="E91" s="97" t="s">
        <v>127</v>
      </c>
      <c r="F91" s="341">
        <v>170</v>
      </c>
      <c r="G91" s="341"/>
      <c r="H91" s="370"/>
      <c r="I91" s="329"/>
      <c r="J91" s="3">
        <v>17</v>
      </c>
      <c r="K91" s="3">
        <f t="shared" si="3"/>
        <v>2.89</v>
      </c>
    </row>
    <row r="92" spans="1:11">
      <c r="E92" s="113"/>
      <c r="F92" s="368"/>
      <c r="G92" s="368"/>
      <c r="H92" s="332"/>
      <c r="I92" s="332"/>
    </row>
    <row r="94" spans="1:11">
      <c r="C94" s="51" t="s">
        <v>141</v>
      </c>
      <c r="D94" s="53">
        <v>200</v>
      </c>
      <c r="F94" s="333" t="s">
        <v>100</v>
      </c>
      <c r="G94" s="333"/>
      <c r="H94" s="333" t="s">
        <v>101</v>
      </c>
      <c r="I94" s="333"/>
      <c r="K94" s="44">
        <f>K95+K96</f>
        <v>1.4740500000000001</v>
      </c>
    </row>
    <row r="95" spans="1:11">
      <c r="E95" s="61" t="s">
        <v>8</v>
      </c>
      <c r="F95" s="62">
        <v>0.6</v>
      </c>
      <c r="G95" s="63"/>
      <c r="H95" s="329">
        <v>0.6</v>
      </c>
      <c r="I95" s="329"/>
      <c r="J95" s="3">
        <v>650</v>
      </c>
      <c r="K95" s="3">
        <f>F95*J95/1000</f>
        <v>0.39</v>
      </c>
    </row>
    <row r="96" spans="1:11">
      <c r="E96" s="64" t="s">
        <v>107</v>
      </c>
      <c r="F96" s="67">
        <v>15</v>
      </c>
      <c r="G96" s="68"/>
      <c r="H96" s="330">
        <v>15</v>
      </c>
      <c r="I96" s="331"/>
      <c r="J96" s="3">
        <v>72.27</v>
      </c>
      <c r="K96" s="3">
        <f>F96*J96/1000</f>
        <v>1.08405</v>
      </c>
    </row>
    <row r="97" spans="1:26">
      <c r="E97" s="70" t="s">
        <v>108</v>
      </c>
      <c r="F97" s="336" t="s">
        <v>109</v>
      </c>
      <c r="G97" s="336"/>
      <c r="H97" s="332">
        <v>200</v>
      </c>
      <c r="I97" s="332"/>
    </row>
    <row r="99" spans="1:26">
      <c r="C99" s="51" t="s">
        <v>142</v>
      </c>
      <c r="D99" s="53">
        <v>40</v>
      </c>
      <c r="J99" s="3">
        <v>54.14</v>
      </c>
      <c r="K99" s="44">
        <f>D99*J99/1000</f>
        <v>2.1656</v>
      </c>
    </row>
    <row r="100" spans="1:26" ht="16.5" thickBot="1">
      <c r="A100" s="81"/>
      <c r="B100" s="81"/>
      <c r="C100" s="81"/>
      <c r="D100" s="82"/>
      <c r="E100" s="82"/>
      <c r="F100" s="82"/>
      <c r="G100" s="82"/>
      <c r="H100" s="82"/>
      <c r="I100" s="82"/>
      <c r="J100" s="83"/>
      <c r="K100" s="83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spans="1:26">
      <c r="A101" s="51" t="s">
        <v>22</v>
      </c>
      <c r="B101" s="51" t="s">
        <v>71</v>
      </c>
      <c r="C101" s="51" t="s">
        <v>143</v>
      </c>
      <c r="D101" s="53">
        <v>100</v>
      </c>
      <c r="J101" s="114">
        <v>200</v>
      </c>
      <c r="K101" s="115">
        <f>D101*J101/1000</f>
        <v>20</v>
      </c>
    </row>
    <row r="102" spans="1:26">
      <c r="A102" s="51" t="s">
        <v>144</v>
      </c>
      <c r="B102" s="116">
        <f>K104+K101+K115+K121+K127</f>
        <v>70.610643999999994</v>
      </c>
      <c r="L102" s="220"/>
      <c r="M102" s="220"/>
    </row>
    <row r="103" spans="1:26">
      <c r="B103" s="51">
        <f>D101+D104+D115+D121+D127</f>
        <v>490</v>
      </c>
      <c r="L103" s="220"/>
      <c r="M103" s="220"/>
    </row>
    <row r="104" spans="1:26">
      <c r="A104" s="53"/>
      <c r="B104" s="53"/>
      <c r="C104" s="51" t="s">
        <v>329</v>
      </c>
      <c r="F104" s="333" t="s">
        <v>100</v>
      </c>
      <c r="G104" s="333"/>
      <c r="H104" s="333" t="s">
        <v>101</v>
      </c>
      <c r="I104" s="333"/>
      <c r="K104" s="196">
        <f>SUM(K106:K112)</f>
        <v>41.181443999999999</v>
      </c>
      <c r="L104" s="220"/>
      <c r="M104" s="220"/>
    </row>
    <row r="105" spans="1:26">
      <c r="A105" s="53"/>
      <c r="B105" s="53"/>
      <c r="E105" s="199"/>
      <c r="F105" s="329"/>
      <c r="G105" s="329"/>
      <c r="H105" s="197"/>
      <c r="I105" s="198"/>
      <c r="K105" s="3">
        <f t="shared" ref="K105:K112" si="4">J105/1000*F105</f>
        <v>0</v>
      </c>
      <c r="L105" s="229"/>
      <c r="M105" s="229"/>
    </row>
    <row r="106" spans="1:26">
      <c r="A106" s="53"/>
      <c r="B106" s="53"/>
      <c r="E106" s="200" t="s">
        <v>330</v>
      </c>
      <c r="F106" s="334">
        <v>127.8</v>
      </c>
      <c r="G106" s="335"/>
      <c r="H106" s="327">
        <v>91.8</v>
      </c>
      <c r="I106" s="328"/>
      <c r="J106" s="3">
        <v>298.98</v>
      </c>
      <c r="K106" s="3">
        <f t="shared" si="4"/>
        <v>38.209644000000004</v>
      </c>
      <c r="L106" s="229"/>
      <c r="M106" s="229"/>
    </row>
    <row r="107" spans="1:26">
      <c r="A107" s="53"/>
      <c r="B107" s="53"/>
      <c r="E107" s="200" t="s">
        <v>5</v>
      </c>
      <c r="F107" s="327">
        <v>10.8</v>
      </c>
      <c r="G107" s="328"/>
      <c r="H107" s="327">
        <v>10.8</v>
      </c>
      <c r="I107" s="328"/>
      <c r="J107" s="3">
        <v>152</v>
      </c>
      <c r="K107" s="3">
        <f t="shared" si="4"/>
        <v>1.6416000000000002</v>
      </c>
      <c r="L107" s="229"/>
      <c r="M107" s="229"/>
    </row>
    <row r="108" spans="1:26">
      <c r="A108" s="53"/>
      <c r="B108" s="53"/>
      <c r="E108" s="200" t="s">
        <v>331</v>
      </c>
      <c r="F108" s="327">
        <v>16.2</v>
      </c>
      <c r="G108" s="328"/>
      <c r="H108" s="327">
        <v>16.2</v>
      </c>
      <c r="I108" s="328"/>
      <c r="J108" s="3">
        <v>20</v>
      </c>
      <c r="K108" s="3">
        <f t="shared" si="4"/>
        <v>0.32400000000000001</v>
      </c>
      <c r="L108" s="229"/>
      <c r="M108" s="229"/>
    </row>
    <row r="109" spans="1:26">
      <c r="A109" s="53"/>
      <c r="B109" s="53"/>
      <c r="E109" s="200" t="s">
        <v>332</v>
      </c>
      <c r="F109" s="327">
        <v>5.4</v>
      </c>
      <c r="G109" s="328"/>
      <c r="H109" s="327">
        <v>5.4</v>
      </c>
      <c r="I109" s="328"/>
      <c r="J109" s="3">
        <v>37</v>
      </c>
      <c r="K109" s="3">
        <f t="shared" si="4"/>
        <v>0.19980000000000001</v>
      </c>
      <c r="L109" s="229"/>
      <c r="M109" s="229"/>
    </row>
    <row r="110" spans="1:26">
      <c r="A110" s="53"/>
      <c r="B110" s="53"/>
      <c r="E110" s="200" t="s">
        <v>333</v>
      </c>
      <c r="F110" s="327">
        <v>5.4</v>
      </c>
      <c r="G110" s="328"/>
      <c r="H110" s="327">
        <v>5.4</v>
      </c>
      <c r="I110" s="328"/>
      <c r="J110" s="3">
        <v>138</v>
      </c>
      <c r="K110" s="3">
        <f t="shared" si="4"/>
        <v>0.74520000000000008</v>
      </c>
      <c r="L110" s="229"/>
      <c r="M110" s="229"/>
    </row>
    <row r="111" spans="1:26">
      <c r="A111" s="53"/>
      <c r="B111" s="53"/>
      <c r="E111" s="200" t="s">
        <v>334</v>
      </c>
      <c r="F111" s="327">
        <v>3.6</v>
      </c>
      <c r="G111" s="328"/>
      <c r="H111" s="327">
        <v>3.6</v>
      </c>
      <c r="I111" s="328"/>
      <c r="J111" s="3">
        <v>17</v>
      </c>
      <c r="K111" s="3">
        <f t="shared" si="4"/>
        <v>6.1200000000000004E-2</v>
      </c>
      <c r="L111" s="229"/>
      <c r="M111" s="229"/>
    </row>
    <row r="112" spans="1:26">
      <c r="A112" s="53"/>
      <c r="B112" s="53"/>
      <c r="E112" s="201" t="s">
        <v>127</v>
      </c>
      <c r="F112" s="330">
        <v>90</v>
      </c>
      <c r="G112" s="369"/>
      <c r="H112" s="369"/>
      <c r="I112" s="331"/>
      <c r="K112" s="3">
        <f t="shared" si="4"/>
        <v>0</v>
      </c>
      <c r="L112" s="229"/>
      <c r="M112" s="229"/>
    </row>
    <row r="113" spans="1:26">
      <c r="A113" s="53"/>
      <c r="B113" s="53"/>
      <c r="E113" s="70"/>
      <c r="F113" s="117"/>
      <c r="G113" s="118"/>
      <c r="H113" s="332"/>
      <c r="I113" s="332"/>
      <c r="L113" s="220"/>
      <c r="M113" s="220"/>
    </row>
    <row r="115" spans="1:26">
      <c r="A115" s="53"/>
      <c r="B115" s="53"/>
      <c r="C115" s="51" t="s">
        <v>148</v>
      </c>
      <c r="D115" s="53">
        <v>150</v>
      </c>
      <c r="F115" s="333" t="s">
        <v>100</v>
      </c>
      <c r="G115" s="333"/>
      <c r="H115" s="333" t="s">
        <v>101</v>
      </c>
      <c r="I115" s="333"/>
      <c r="K115" s="115">
        <f>SUM(K116:K118)</f>
        <v>4.8765499999999999</v>
      </c>
    </row>
    <row r="116" spans="1:26">
      <c r="A116" s="53"/>
      <c r="B116" s="53"/>
      <c r="E116" s="61" t="s">
        <v>13</v>
      </c>
      <c r="F116" s="62">
        <v>52</v>
      </c>
      <c r="G116" s="63"/>
      <c r="H116" s="329">
        <v>52</v>
      </c>
      <c r="I116" s="329"/>
      <c r="J116" s="3">
        <v>65</v>
      </c>
      <c r="K116" s="3">
        <f>F116*J116/1000</f>
        <v>3.38</v>
      </c>
    </row>
    <row r="117" spans="1:26">
      <c r="A117" s="53"/>
      <c r="B117" s="53"/>
      <c r="E117" s="61" t="s">
        <v>106</v>
      </c>
      <c r="F117" s="65">
        <v>0.3</v>
      </c>
      <c r="G117" s="66"/>
      <c r="H117" s="329">
        <v>0.3</v>
      </c>
      <c r="I117" s="329"/>
      <c r="J117" s="3">
        <v>17</v>
      </c>
      <c r="K117" s="3">
        <f>F117*J117/1000</f>
        <v>5.0999999999999995E-3</v>
      </c>
    </row>
    <row r="118" spans="1:26">
      <c r="A118" s="53"/>
      <c r="B118" s="53"/>
      <c r="E118" s="61" t="s">
        <v>105</v>
      </c>
      <c r="F118" s="67">
        <v>3</v>
      </c>
      <c r="G118" s="68"/>
      <c r="H118" s="329">
        <v>3</v>
      </c>
      <c r="I118" s="329"/>
      <c r="J118" s="3">
        <v>497.15</v>
      </c>
      <c r="K118" s="3">
        <f>F118*J118/1000</f>
        <v>1.4914499999999997</v>
      </c>
    </row>
    <row r="119" spans="1:26">
      <c r="E119" s="70" t="s">
        <v>108</v>
      </c>
      <c r="F119" s="117" t="s">
        <v>109</v>
      </c>
      <c r="G119" s="118"/>
      <c r="H119" s="332">
        <v>150</v>
      </c>
      <c r="I119" s="332"/>
    </row>
    <row r="121" spans="1:26">
      <c r="C121" s="51" t="s">
        <v>149</v>
      </c>
      <c r="D121" s="53">
        <v>200</v>
      </c>
      <c r="F121" s="333" t="s">
        <v>100</v>
      </c>
      <c r="G121" s="333"/>
      <c r="H121" s="333" t="s">
        <v>101</v>
      </c>
      <c r="I121" s="333"/>
      <c r="K121" s="115">
        <f>SUM(K122:K124)</f>
        <v>2.5490500000000003</v>
      </c>
    </row>
    <row r="122" spans="1:26">
      <c r="E122" s="61" t="s">
        <v>8</v>
      </c>
      <c r="F122" s="62">
        <v>0.6</v>
      </c>
      <c r="G122" s="63"/>
      <c r="H122" s="329">
        <v>0.6</v>
      </c>
      <c r="I122" s="329"/>
      <c r="J122" s="3">
        <v>650</v>
      </c>
      <c r="K122" s="3">
        <f>F122*J122/1000</f>
        <v>0.39</v>
      </c>
    </row>
    <row r="123" spans="1:26">
      <c r="E123" s="64" t="s">
        <v>107</v>
      </c>
      <c r="F123" s="65">
        <v>15</v>
      </c>
      <c r="G123" s="66"/>
      <c r="H123" s="330">
        <v>15</v>
      </c>
      <c r="I123" s="331"/>
      <c r="J123" s="3">
        <v>72.27</v>
      </c>
      <c r="K123" s="3">
        <f>F123*J123/1000</f>
        <v>1.08405</v>
      </c>
    </row>
    <row r="124" spans="1:26">
      <c r="E124" s="64" t="s">
        <v>150</v>
      </c>
      <c r="F124" s="67">
        <v>5</v>
      </c>
      <c r="G124" s="68"/>
      <c r="H124" s="330">
        <v>4</v>
      </c>
      <c r="I124" s="331"/>
      <c r="J124" s="3">
        <v>215</v>
      </c>
      <c r="K124" s="3">
        <f>F124*J124/1000</f>
        <v>1.075</v>
      </c>
    </row>
    <row r="125" spans="1:26">
      <c r="E125" s="70" t="s">
        <v>108</v>
      </c>
      <c r="F125" s="336" t="s">
        <v>109</v>
      </c>
      <c r="G125" s="336"/>
      <c r="H125" s="336" t="s">
        <v>151</v>
      </c>
      <c r="I125" s="336"/>
    </row>
    <row r="127" spans="1:26">
      <c r="C127" s="51" t="s">
        <v>112</v>
      </c>
      <c r="D127" s="53">
        <v>40</v>
      </c>
      <c r="J127" s="3">
        <v>50.09</v>
      </c>
      <c r="K127" s="115">
        <f>J127*D127/1000</f>
        <v>2.0036</v>
      </c>
    </row>
    <row r="128" spans="1:26" ht="16.5" thickBot="1">
      <c r="A128" s="81"/>
      <c r="B128" s="81"/>
      <c r="C128" s="81"/>
      <c r="D128" s="82"/>
      <c r="E128" s="82"/>
      <c r="F128" s="82"/>
      <c r="G128" s="82"/>
      <c r="H128" s="82"/>
      <c r="I128" s="82"/>
      <c r="J128" s="83"/>
      <c r="K128" s="83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 spans="1:11">
      <c r="A129" s="51" t="s">
        <v>23</v>
      </c>
      <c r="B129" s="51" t="s">
        <v>71</v>
      </c>
      <c r="C129" s="86"/>
      <c r="D129" s="87"/>
      <c r="E129" s="87"/>
      <c r="F129" s="367"/>
      <c r="G129" s="367"/>
      <c r="H129" s="367"/>
      <c r="I129" s="367"/>
      <c r="J129" s="31"/>
      <c r="K129" s="114"/>
    </row>
    <row r="130" spans="1:11">
      <c r="A130" s="51" t="s">
        <v>152</v>
      </c>
      <c r="B130" s="119">
        <f>K130+K135+K137+K146+K148+K150</f>
        <v>50.242750999999991</v>
      </c>
      <c r="C130" s="215" t="s">
        <v>341</v>
      </c>
      <c r="D130" s="216">
        <v>40</v>
      </c>
      <c r="E130" s="215" t="s">
        <v>335</v>
      </c>
      <c r="F130" s="218">
        <v>40</v>
      </c>
      <c r="G130" s="218"/>
      <c r="H130" s="216"/>
      <c r="I130" s="216"/>
      <c r="J130" s="219">
        <v>140</v>
      </c>
      <c r="K130" s="84">
        <f>F130*J130/1000</f>
        <v>5.6</v>
      </c>
    </row>
    <row r="131" spans="1:11">
      <c r="B131" s="51">
        <f>D130+D135+D137+D148+D146+D150</f>
        <v>580</v>
      </c>
      <c r="C131" s="86"/>
      <c r="D131" s="87"/>
      <c r="E131" s="120"/>
      <c r="F131" s="364"/>
      <c r="G131" s="364"/>
      <c r="H131" s="365"/>
      <c r="I131" s="365"/>
      <c r="J131" s="31"/>
      <c r="K131" s="31"/>
    </row>
    <row r="132" spans="1:11" hidden="1">
      <c r="F132" s="366"/>
      <c r="G132" s="366"/>
      <c r="H132" s="366"/>
      <c r="I132" s="366"/>
    </row>
    <row r="133" spans="1:11" hidden="1">
      <c r="E133" s="121"/>
      <c r="F133" s="363"/>
      <c r="G133" s="363"/>
      <c r="K133" s="122">
        <f>F133*J133/1000</f>
        <v>0</v>
      </c>
    </row>
    <row r="134" spans="1:11" hidden="1">
      <c r="F134" s="366"/>
      <c r="G134" s="366"/>
      <c r="H134" s="366"/>
      <c r="I134" s="366"/>
    </row>
    <row r="135" spans="1:11" hidden="1">
      <c r="A135" s="53"/>
      <c r="B135" s="53"/>
      <c r="C135" s="123"/>
      <c r="D135" s="124"/>
      <c r="E135" s="121"/>
      <c r="F135" s="363"/>
      <c r="G135" s="363"/>
      <c r="H135" s="363"/>
      <c r="I135" s="363"/>
      <c r="K135" s="122"/>
    </row>
    <row r="137" spans="1:11">
      <c r="A137" s="53"/>
      <c r="B137" s="53"/>
      <c r="C137" s="51" t="s">
        <v>153</v>
      </c>
      <c r="D137" s="53">
        <v>200</v>
      </c>
      <c r="F137" s="333" t="s">
        <v>100</v>
      </c>
      <c r="G137" s="333"/>
      <c r="H137" s="333" t="s">
        <v>101</v>
      </c>
      <c r="I137" s="333"/>
      <c r="K137" s="122">
        <f>SUM(K138:K143)</f>
        <v>34.286700999999994</v>
      </c>
    </row>
    <row r="138" spans="1:11">
      <c r="A138" s="53"/>
      <c r="B138" s="53"/>
      <c r="E138" s="61" t="s">
        <v>154</v>
      </c>
      <c r="F138" s="62">
        <v>137.94</v>
      </c>
      <c r="G138" s="63"/>
      <c r="H138" s="329">
        <f t="shared" ref="H138:H142" si="5">F138</f>
        <v>137.94</v>
      </c>
      <c r="I138" s="329"/>
      <c r="J138" s="3">
        <v>140</v>
      </c>
      <c r="K138" s="3">
        <f t="shared" ref="K138:K143" si="6">F138*J138/1000</f>
        <v>19.311599999999999</v>
      </c>
    </row>
    <row r="139" spans="1:11">
      <c r="A139" s="53"/>
      <c r="B139" s="53"/>
      <c r="E139" s="64" t="s">
        <v>103</v>
      </c>
      <c r="F139" s="65">
        <v>51.72</v>
      </c>
      <c r="G139" s="66"/>
      <c r="H139" s="329">
        <f t="shared" si="5"/>
        <v>51.72</v>
      </c>
      <c r="I139" s="329"/>
      <c r="J139" s="3">
        <v>57.5</v>
      </c>
      <c r="K139" s="3">
        <f t="shared" si="6"/>
        <v>2.9739</v>
      </c>
    </row>
    <row r="140" spans="1:11">
      <c r="A140" s="53"/>
      <c r="B140" s="53"/>
      <c r="E140" s="64" t="s">
        <v>105</v>
      </c>
      <c r="F140" s="65">
        <v>6.9</v>
      </c>
      <c r="G140" s="66"/>
      <c r="H140" s="329">
        <f t="shared" si="5"/>
        <v>6.9</v>
      </c>
      <c r="I140" s="329"/>
      <c r="J140" s="3">
        <v>497.15</v>
      </c>
      <c r="K140" s="3">
        <f t="shared" si="6"/>
        <v>3.4303349999999999</v>
      </c>
    </row>
    <row r="141" spans="1:11">
      <c r="A141" s="53"/>
      <c r="B141" s="53"/>
      <c r="E141" s="64" t="s">
        <v>116</v>
      </c>
      <c r="F141" s="65">
        <v>51.72</v>
      </c>
      <c r="G141" s="66"/>
      <c r="H141" s="329">
        <f t="shared" si="5"/>
        <v>51.72</v>
      </c>
      <c r="I141" s="329"/>
      <c r="K141" s="3">
        <f t="shared" si="6"/>
        <v>0</v>
      </c>
    </row>
    <row r="142" spans="1:11">
      <c r="A142" s="53"/>
      <c r="B142" s="53"/>
      <c r="E142" s="64" t="s">
        <v>105</v>
      </c>
      <c r="F142" s="125">
        <v>17.239999999999998</v>
      </c>
      <c r="G142" s="126"/>
      <c r="H142" s="329">
        <f t="shared" si="5"/>
        <v>17.239999999999998</v>
      </c>
      <c r="I142" s="329"/>
      <c r="J142" s="3">
        <v>497.15</v>
      </c>
      <c r="K142" s="3">
        <f t="shared" si="6"/>
        <v>8.5708659999999988</v>
      </c>
    </row>
    <row r="143" spans="1:11">
      <c r="A143" s="53"/>
      <c r="B143" s="53"/>
      <c r="E143" s="61"/>
      <c r="F143" s="329"/>
      <c r="G143" s="329"/>
      <c r="H143" s="329"/>
      <c r="I143" s="329"/>
      <c r="K143" s="3">
        <f t="shared" si="6"/>
        <v>0</v>
      </c>
    </row>
    <row r="144" spans="1:11">
      <c r="A144" s="53"/>
      <c r="B144" s="53"/>
      <c r="E144" s="70" t="s">
        <v>108</v>
      </c>
      <c r="F144" s="336" t="s">
        <v>109</v>
      </c>
      <c r="G144" s="336"/>
      <c r="H144" s="332">
        <v>200</v>
      </c>
      <c r="I144" s="332"/>
    </row>
    <row r="145" spans="1:11">
      <c r="A145" s="53"/>
      <c r="B145" s="53"/>
      <c r="F145" s="333" t="s">
        <v>100</v>
      </c>
      <c r="G145" s="333"/>
      <c r="H145" s="333" t="s">
        <v>101</v>
      </c>
      <c r="I145" s="333"/>
    </row>
    <row r="146" spans="1:11">
      <c r="A146" s="53"/>
      <c r="B146" s="53"/>
      <c r="C146" s="51" t="s">
        <v>155</v>
      </c>
      <c r="D146" s="53">
        <v>100</v>
      </c>
      <c r="E146" s="61" t="s">
        <v>50</v>
      </c>
      <c r="F146" s="62">
        <v>100</v>
      </c>
      <c r="G146" s="63"/>
      <c r="H146" s="329">
        <v>100</v>
      </c>
      <c r="I146" s="329"/>
      <c r="J146" s="3">
        <v>65</v>
      </c>
      <c r="K146" s="122">
        <f>F146*J146/1000</f>
        <v>6.5</v>
      </c>
    </row>
    <row r="148" spans="1:11">
      <c r="A148" s="53"/>
      <c r="B148" s="53"/>
      <c r="C148" s="51" t="s">
        <v>142</v>
      </c>
      <c r="D148" s="53">
        <v>40</v>
      </c>
      <c r="J148" s="3">
        <v>59.55</v>
      </c>
      <c r="K148" s="122">
        <f>D148*J148/1000</f>
        <v>2.3820000000000001</v>
      </c>
    </row>
    <row r="150" spans="1:11">
      <c r="A150" s="53"/>
      <c r="B150" s="53"/>
      <c r="C150" s="51" t="s">
        <v>141</v>
      </c>
      <c r="D150" s="53">
        <v>200</v>
      </c>
      <c r="F150" s="333" t="s">
        <v>100</v>
      </c>
      <c r="G150" s="333"/>
      <c r="H150" s="333" t="s">
        <v>101</v>
      </c>
      <c r="I150" s="333"/>
      <c r="K150" s="122">
        <f>K151+K152</f>
        <v>1.4740500000000001</v>
      </c>
    </row>
    <row r="151" spans="1:11">
      <c r="E151" s="61" t="s">
        <v>8</v>
      </c>
      <c r="F151" s="62">
        <v>0.6</v>
      </c>
      <c r="G151" s="63"/>
      <c r="H151" s="329">
        <v>0.6</v>
      </c>
      <c r="I151" s="329"/>
      <c r="J151" s="3">
        <v>650</v>
      </c>
      <c r="K151" s="3">
        <f>J151*F151/1000</f>
        <v>0.39</v>
      </c>
    </row>
    <row r="152" spans="1:11">
      <c r="E152" s="64" t="s">
        <v>107</v>
      </c>
      <c r="F152" s="67">
        <v>15</v>
      </c>
      <c r="G152" s="68"/>
      <c r="H152" s="330">
        <v>15</v>
      </c>
      <c r="I152" s="331"/>
      <c r="J152" s="3">
        <v>72.27</v>
      </c>
      <c r="K152" s="3">
        <f>J152*F152/1000</f>
        <v>1.08405</v>
      </c>
    </row>
    <row r="153" spans="1:11">
      <c r="E153" s="70" t="s">
        <v>108</v>
      </c>
      <c r="F153" s="336" t="s">
        <v>109</v>
      </c>
      <c r="G153" s="336"/>
      <c r="H153" s="332">
        <v>200</v>
      </c>
      <c r="I153" s="332"/>
    </row>
    <row r="156" spans="1:11" hidden="1">
      <c r="A156" s="107" t="s">
        <v>24</v>
      </c>
      <c r="B156" s="107" t="s">
        <v>71</v>
      </c>
      <c r="C156" s="107"/>
      <c r="D156" s="127"/>
      <c r="E156" s="127"/>
      <c r="F156" s="127"/>
      <c r="G156" s="127"/>
      <c r="H156" s="127"/>
      <c r="I156" s="127"/>
      <c r="J156" s="112"/>
      <c r="K156" s="112"/>
    </row>
    <row r="157" spans="1:11" hidden="1">
      <c r="A157" s="107" t="s">
        <v>156</v>
      </c>
      <c r="B157" s="128">
        <f>K157+K159+K171+K178+K180</f>
        <v>67.155680000000004</v>
      </c>
      <c r="C157" s="107" t="s">
        <v>157</v>
      </c>
      <c r="D157" s="127"/>
      <c r="E157" s="129" t="s">
        <v>158</v>
      </c>
      <c r="F157" s="361">
        <v>102</v>
      </c>
      <c r="G157" s="361"/>
      <c r="H157" s="361">
        <v>100</v>
      </c>
      <c r="I157" s="361"/>
      <c r="J157" s="112">
        <v>105</v>
      </c>
      <c r="K157" s="112">
        <f>F157*J157/1000</f>
        <v>10.71</v>
      </c>
    </row>
    <row r="158" spans="1:11" hidden="1">
      <c r="A158" s="107"/>
      <c r="B158" s="107"/>
      <c r="C158" s="107"/>
      <c r="D158" s="127"/>
      <c r="E158" s="127"/>
      <c r="F158" s="127"/>
      <c r="G158" s="127"/>
      <c r="H158" s="127"/>
      <c r="I158" s="127"/>
      <c r="J158" s="112"/>
      <c r="K158" s="112"/>
    </row>
    <row r="159" spans="1:11" hidden="1">
      <c r="A159" s="107"/>
      <c r="B159" s="107"/>
      <c r="C159" s="107" t="s">
        <v>159</v>
      </c>
      <c r="D159" s="127">
        <v>90</v>
      </c>
      <c r="E159" s="127"/>
      <c r="F159" s="362" t="s">
        <v>100</v>
      </c>
      <c r="G159" s="362"/>
      <c r="H159" s="362" t="s">
        <v>101</v>
      </c>
      <c r="I159" s="362"/>
      <c r="J159" s="112"/>
      <c r="K159" s="112">
        <f>SUM(K160:K168)</f>
        <v>38.222900000000003</v>
      </c>
    </row>
    <row r="160" spans="1:11" hidden="1">
      <c r="A160" s="107"/>
      <c r="B160" s="107"/>
      <c r="C160" s="107"/>
      <c r="D160" s="127"/>
      <c r="E160" s="129" t="s">
        <v>145</v>
      </c>
      <c r="F160" s="361">
        <f>50*H169/90</f>
        <v>50</v>
      </c>
      <c r="G160" s="361"/>
      <c r="H160" s="361">
        <f>42*H169/90</f>
        <v>42</v>
      </c>
      <c r="I160" s="361"/>
      <c r="J160" s="112">
        <v>548</v>
      </c>
      <c r="K160" s="112">
        <f t="shared" ref="K160:K168" si="7">F160*J160/1000</f>
        <v>27.4</v>
      </c>
    </row>
    <row r="161" spans="1:11" hidden="1">
      <c r="A161" s="107"/>
      <c r="B161" s="107"/>
      <c r="C161" s="107"/>
      <c r="D161" s="127"/>
      <c r="E161" s="130" t="s">
        <v>160</v>
      </c>
      <c r="F161" s="359">
        <f>24*H169/90</f>
        <v>24</v>
      </c>
      <c r="G161" s="360"/>
      <c r="H161" s="359">
        <f>20*H169/90</f>
        <v>20</v>
      </c>
      <c r="I161" s="360"/>
      <c r="J161" s="112">
        <v>330</v>
      </c>
      <c r="K161" s="112">
        <f t="shared" si="7"/>
        <v>7.92</v>
      </c>
    </row>
    <row r="162" spans="1:11" hidden="1">
      <c r="A162" s="107"/>
      <c r="B162" s="107"/>
      <c r="C162" s="107"/>
      <c r="D162" s="127"/>
      <c r="E162" s="130" t="s">
        <v>161</v>
      </c>
      <c r="F162" s="359">
        <f>13.5*H169/90</f>
        <v>13.5</v>
      </c>
      <c r="G162" s="360"/>
      <c r="H162" s="359">
        <f>F162</f>
        <v>13.5</v>
      </c>
      <c r="I162" s="360"/>
      <c r="J162" s="112">
        <v>45.54</v>
      </c>
      <c r="K162" s="112">
        <f t="shared" si="7"/>
        <v>0.61478999999999995</v>
      </c>
    </row>
    <row r="163" spans="1:11" hidden="1">
      <c r="A163" s="107"/>
      <c r="B163" s="107"/>
      <c r="C163" s="107"/>
      <c r="D163" s="127"/>
      <c r="E163" s="130" t="s">
        <v>146</v>
      </c>
      <c r="F163" s="359">
        <f>4*H169/90</f>
        <v>4</v>
      </c>
      <c r="G163" s="360"/>
      <c r="H163" s="359">
        <f t="shared" ref="H163:H168" si="8">F163</f>
        <v>4</v>
      </c>
      <c r="I163" s="360"/>
      <c r="J163" s="112">
        <v>140</v>
      </c>
      <c r="K163" s="112">
        <f t="shared" si="7"/>
        <v>0.56000000000000005</v>
      </c>
    </row>
    <row r="164" spans="1:11" hidden="1">
      <c r="A164" s="107"/>
      <c r="B164" s="107"/>
      <c r="C164" s="107"/>
      <c r="D164" s="127"/>
      <c r="E164" s="130" t="s">
        <v>162</v>
      </c>
      <c r="F164" s="359">
        <f>3.5*H169/90</f>
        <v>3.5</v>
      </c>
      <c r="G164" s="360"/>
      <c r="H164" s="359">
        <f t="shared" si="8"/>
        <v>3.5</v>
      </c>
      <c r="I164" s="360"/>
      <c r="J164" s="112">
        <v>20</v>
      </c>
      <c r="K164" s="112">
        <f t="shared" si="7"/>
        <v>7.0000000000000007E-2</v>
      </c>
    </row>
    <row r="165" spans="1:11" hidden="1">
      <c r="A165" s="107"/>
      <c r="B165" s="107"/>
      <c r="C165" s="107"/>
      <c r="D165" s="127"/>
      <c r="E165" s="130" t="s">
        <v>103</v>
      </c>
      <c r="F165" s="359">
        <f>13*H169/90</f>
        <v>13</v>
      </c>
      <c r="G165" s="360"/>
      <c r="H165" s="359">
        <f t="shared" si="8"/>
        <v>13</v>
      </c>
      <c r="I165" s="360"/>
      <c r="J165" s="112">
        <v>48.17</v>
      </c>
      <c r="K165" s="112">
        <f t="shared" si="7"/>
        <v>0.62621000000000004</v>
      </c>
    </row>
    <row r="166" spans="1:11" hidden="1">
      <c r="A166" s="107"/>
      <c r="B166" s="107"/>
      <c r="C166" s="107"/>
      <c r="D166" s="127"/>
      <c r="E166" s="129" t="s">
        <v>118</v>
      </c>
      <c r="F166" s="361">
        <f>4*H169/90</f>
        <v>4</v>
      </c>
      <c r="G166" s="361"/>
      <c r="H166" s="359">
        <f t="shared" si="8"/>
        <v>4</v>
      </c>
      <c r="I166" s="360"/>
      <c r="J166" s="112">
        <v>150</v>
      </c>
      <c r="K166" s="112">
        <f t="shared" si="7"/>
        <v>0.6</v>
      </c>
    </row>
    <row r="167" spans="1:11" hidden="1">
      <c r="A167" s="107"/>
      <c r="B167" s="107"/>
      <c r="C167" s="107"/>
      <c r="D167" s="127"/>
      <c r="E167" s="129" t="s">
        <v>106</v>
      </c>
      <c r="F167" s="361">
        <f>0.7*H169/90</f>
        <v>0.7</v>
      </c>
      <c r="G167" s="361"/>
      <c r="H167" s="359">
        <f t="shared" si="8"/>
        <v>0.7</v>
      </c>
      <c r="I167" s="360"/>
      <c r="J167" s="112">
        <v>17</v>
      </c>
      <c r="K167" s="112">
        <f t="shared" si="7"/>
        <v>1.1899999999999999E-2</v>
      </c>
    </row>
    <row r="168" spans="1:11" hidden="1">
      <c r="A168" s="107"/>
      <c r="B168" s="107"/>
      <c r="C168" s="107"/>
      <c r="D168" s="127"/>
      <c r="E168" s="130" t="s">
        <v>147</v>
      </c>
      <c r="F168" s="359">
        <f>3*H169/90</f>
        <v>3</v>
      </c>
      <c r="G168" s="360"/>
      <c r="H168" s="359">
        <f t="shared" si="8"/>
        <v>3</v>
      </c>
      <c r="I168" s="360"/>
      <c r="J168" s="112">
        <v>140</v>
      </c>
      <c r="K168" s="112">
        <f t="shared" si="7"/>
        <v>0.42</v>
      </c>
    </row>
    <row r="169" spans="1:11" hidden="1">
      <c r="A169" s="107"/>
      <c r="B169" s="107"/>
      <c r="C169" s="107"/>
      <c r="D169" s="127"/>
      <c r="E169" s="131" t="s">
        <v>108</v>
      </c>
      <c r="F169" s="356" t="s">
        <v>109</v>
      </c>
      <c r="G169" s="356"/>
      <c r="H169" s="357">
        <v>90</v>
      </c>
      <c r="I169" s="357"/>
      <c r="J169" s="112"/>
      <c r="K169" s="112"/>
    </row>
    <row r="170" spans="1:11" hidden="1">
      <c r="A170" s="107"/>
      <c r="B170" s="107"/>
      <c r="C170" s="107"/>
      <c r="D170" s="127"/>
      <c r="E170" s="127"/>
      <c r="F170" s="127"/>
      <c r="G170" s="127"/>
      <c r="H170" s="127"/>
      <c r="I170" s="127"/>
      <c r="J170" s="112"/>
      <c r="K170" s="112"/>
    </row>
    <row r="171" spans="1:11" hidden="1">
      <c r="A171" s="107"/>
      <c r="B171" s="107"/>
      <c r="C171" s="107" t="s">
        <v>163</v>
      </c>
      <c r="D171" s="127">
        <v>150</v>
      </c>
      <c r="E171" s="127"/>
      <c r="F171" s="362" t="s">
        <v>100</v>
      </c>
      <c r="G171" s="362"/>
      <c r="H171" s="362" t="s">
        <v>101</v>
      </c>
      <c r="I171" s="362"/>
      <c r="J171" s="112"/>
      <c r="K171" s="112">
        <f>SUM(K172:K175)</f>
        <v>7.4011799999999992</v>
      </c>
    </row>
    <row r="172" spans="1:11" hidden="1">
      <c r="A172" s="107"/>
      <c r="B172" s="107"/>
      <c r="C172" s="107"/>
      <c r="D172" s="127"/>
      <c r="E172" s="129" t="s">
        <v>164</v>
      </c>
      <c r="F172" s="361">
        <f>170*H176/150</f>
        <v>170</v>
      </c>
      <c r="G172" s="361"/>
      <c r="H172" s="361">
        <f>128*H176/150</f>
        <v>128</v>
      </c>
      <c r="I172" s="361"/>
      <c r="J172" s="112">
        <v>27</v>
      </c>
      <c r="K172" s="112">
        <f>F172*J172/1000</f>
        <v>4.59</v>
      </c>
    </row>
    <row r="173" spans="1:11" hidden="1">
      <c r="A173" s="107"/>
      <c r="B173" s="107"/>
      <c r="C173" s="107"/>
      <c r="D173" s="127"/>
      <c r="E173" s="130" t="s">
        <v>103</v>
      </c>
      <c r="F173" s="359">
        <f>24*H176/150</f>
        <v>24</v>
      </c>
      <c r="G173" s="360"/>
      <c r="H173" s="359">
        <f>24*H176/150</f>
        <v>24</v>
      </c>
      <c r="I173" s="360"/>
      <c r="J173" s="112">
        <v>48.17</v>
      </c>
      <c r="K173" s="112">
        <f>F173*J173/1000</f>
        <v>1.15608</v>
      </c>
    </row>
    <row r="174" spans="1:11" hidden="1">
      <c r="A174" s="107"/>
      <c r="B174" s="107"/>
      <c r="C174" s="107"/>
      <c r="D174" s="127"/>
      <c r="E174" s="130" t="s">
        <v>105</v>
      </c>
      <c r="F174" s="359">
        <f>3*H176/150</f>
        <v>3</v>
      </c>
      <c r="G174" s="360"/>
      <c r="H174" s="359">
        <f>3*H176/150</f>
        <v>3</v>
      </c>
      <c r="I174" s="360"/>
      <c r="J174" s="112">
        <v>550</v>
      </c>
      <c r="K174" s="112">
        <f>F174*J174/1000</f>
        <v>1.65</v>
      </c>
    </row>
    <row r="175" spans="1:11" hidden="1">
      <c r="A175" s="107"/>
      <c r="B175" s="107"/>
      <c r="C175" s="107"/>
      <c r="D175" s="127"/>
      <c r="E175" s="129" t="s">
        <v>106</v>
      </c>
      <c r="F175" s="361">
        <f>0.3*H176/150</f>
        <v>0.3</v>
      </c>
      <c r="G175" s="361"/>
      <c r="H175" s="361">
        <f>0.3*H176/150</f>
        <v>0.3</v>
      </c>
      <c r="I175" s="361"/>
      <c r="J175" s="112">
        <v>17</v>
      </c>
      <c r="K175" s="112">
        <f>F175*J175/1000</f>
        <v>5.0999999999999995E-3</v>
      </c>
    </row>
    <row r="176" spans="1:11" hidden="1">
      <c r="A176" s="107"/>
      <c r="B176" s="107"/>
      <c r="C176" s="107"/>
      <c r="D176" s="127"/>
      <c r="E176" s="131" t="s">
        <v>108</v>
      </c>
      <c r="F176" s="356" t="s">
        <v>109</v>
      </c>
      <c r="G176" s="356"/>
      <c r="H176" s="357">
        <v>150</v>
      </c>
      <c r="I176" s="357"/>
      <c r="J176" s="112"/>
      <c r="K176" s="112"/>
    </row>
    <row r="177" spans="1:26" hidden="1">
      <c r="A177" s="107"/>
      <c r="B177" s="107"/>
      <c r="C177" s="107"/>
      <c r="D177" s="127"/>
      <c r="E177" s="127"/>
      <c r="F177" s="127"/>
      <c r="G177" s="127"/>
      <c r="H177" s="127"/>
      <c r="I177" s="127"/>
      <c r="J177" s="112"/>
      <c r="K177" s="112"/>
    </row>
    <row r="178" spans="1:26" hidden="1">
      <c r="A178" s="107"/>
      <c r="B178" s="107"/>
      <c r="C178" s="107" t="s">
        <v>165</v>
      </c>
      <c r="D178" s="127">
        <v>200</v>
      </c>
      <c r="E178" s="129" t="s">
        <v>166</v>
      </c>
      <c r="F178" s="358">
        <v>200</v>
      </c>
      <c r="G178" s="358"/>
      <c r="H178" s="358">
        <v>200</v>
      </c>
      <c r="I178" s="358"/>
      <c r="J178" s="112">
        <v>45</v>
      </c>
      <c r="K178" s="112">
        <f>F178*J178/1000</f>
        <v>9</v>
      </c>
    </row>
    <row r="179" spans="1:26" hidden="1">
      <c r="A179" s="107"/>
      <c r="B179" s="107"/>
      <c r="C179" s="107"/>
      <c r="D179" s="127"/>
      <c r="E179" s="127"/>
      <c r="F179" s="127"/>
      <c r="G179" s="127"/>
      <c r="H179" s="127"/>
      <c r="I179" s="127"/>
      <c r="J179" s="112"/>
      <c r="K179" s="112"/>
    </row>
    <row r="180" spans="1:26" hidden="1">
      <c r="A180" s="107"/>
      <c r="B180" s="107"/>
      <c r="C180" s="107" t="s">
        <v>112</v>
      </c>
      <c r="D180" s="127">
        <v>40</v>
      </c>
      <c r="E180" s="127"/>
      <c r="F180" s="127"/>
      <c r="G180" s="127"/>
      <c r="H180" s="127"/>
      <c r="I180" s="127"/>
      <c r="J180" s="112">
        <v>45.54</v>
      </c>
      <c r="K180" s="112">
        <f>D180*J180/1000</f>
        <v>1.8215999999999999</v>
      </c>
    </row>
    <row r="181" spans="1:26" ht="16.5" thickBot="1">
      <c r="A181" s="81"/>
      <c r="B181" s="81"/>
      <c r="C181" s="81"/>
      <c r="D181" s="82"/>
      <c r="E181" s="82"/>
      <c r="F181" s="82"/>
      <c r="G181" s="82"/>
      <c r="H181" s="82"/>
      <c r="I181" s="82"/>
      <c r="J181" s="83"/>
      <c r="K181" s="83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 spans="1:26">
      <c r="A182" s="51">
        <v>6</v>
      </c>
      <c r="B182" s="51" t="s">
        <v>71</v>
      </c>
    </row>
    <row r="183" spans="1:26">
      <c r="A183" s="53" t="s">
        <v>95</v>
      </c>
      <c r="B183" s="132">
        <f>K183+K185+K187+K195+K202</f>
        <v>53.598919999999993</v>
      </c>
      <c r="C183" s="51" t="s">
        <v>167</v>
      </c>
      <c r="D183" s="53">
        <v>100</v>
      </c>
      <c r="E183" s="61" t="s">
        <v>168</v>
      </c>
      <c r="F183" s="133">
        <v>100</v>
      </c>
      <c r="G183" s="134"/>
      <c r="H183" s="329">
        <v>100</v>
      </c>
      <c r="I183" s="329"/>
      <c r="J183" s="3">
        <v>140</v>
      </c>
      <c r="K183" s="135">
        <f>F183*J183/1000</f>
        <v>14</v>
      </c>
    </row>
    <row r="184" spans="1:26">
      <c r="B184" s="51">
        <f>D183+D185+D187+D195+D202</f>
        <v>560</v>
      </c>
    </row>
    <row r="185" spans="1:26">
      <c r="A185" s="53"/>
      <c r="C185" s="51" t="s">
        <v>169</v>
      </c>
      <c r="D185" s="53">
        <v>20</v>
      </c>
      <c r="E185" s="61" t="s">
        <v>170</v>
      </c>
      <c r="F185" s="133">
        <v>21</v>
      </c>
      <c r="G185" s="134"/>
      <c r="H185" s="329">
        <v>20</v>
      </c>
      <c r="I185" s="329"/>
      <c r="J185" s="3">
        <v>498</v>
      </c>
      <c r="K185" s="135">
        <f>F185*J185/1000</f>
        <v>10.458</v>
      </c>
    </row>
    <row r="187" spans="1:26">
      <c r="A187" s="53"/>
      <c r="C187" s="51" t="s">
        <v>171</v>
      </c>
      <c r="D187" s="53">
        <v>200</v>
      </c>
      <c r="F187" s="136" t="s">
        <v>100</v>
      </c>
      <c r="G187" s="137"/>
      <c r="H187" s="333" t="s">
        <v>101</v>
      </c>
      <c r="I187" s="333"/>
      <c r="K187" s="135">
        <f>SUM(K188:K192)</f>
        <v>19.177870000000002</v>
      </c>
    </row>
    <row r="188" spans="1:26">
      <c r="A188" s="53"/>
      <c r="E188" s="61" t="s">
        <v>36</v>
      </c>
      <c r="F188" s="62">
        <f>50*H193/200</f>
        <v>50</v>
      </c>
      <c r="G188" s="63"/>
      <c r="H188" s="329">
        <f>F188</f>
        <v>50</v>
      </c>
      <c r="I188" s="329"/>
      <c r="J188" s="3">
        <v>95</v>
      </c>
      <c r="K188" s="3">
        <f>F188*J188/1000</f>
        <v>4.75</v>
      </c>
    </row>
    <row r="189" spans="1:26">
      <c r="A189" s="53"/>
      <c r="E189" s="64" t="s">
        <v>103</v>
      </c>
      <c r="F189" s="65">
        <f>200*H193/200</f>
        <v>200</v>
      </c>
      <c r="G189" s="66"/>
      <c r="H189" s="330">
        <f>F189</f>
        <v>200</v>
      </c>
      <c r="I189" s="331"/>
      <c r="J189" s="3">
        <v>57.5</v>
      </c>
      <c r="K189" s="3">
        <f>F189*J189/1000</f>
        <v>11.5</v>
      </c>
    </row>
    <row r="190" spans="1:26">
      <c r="A190" s="53"/>
      <c r="E190" s="64" t="s">
        <v>107</v>
      </c>
      <c r="F190" s="65">
        <f>6*H193/200</f>
        <v>6</v>
      </c>
      <c r="G190" s="66"/>
      <c r="H190" s="330">
        <f>F190</f>
        <v>6</v>
      </c>
      <c r="I190" s="331"/>
      <c r="J190" s="3">
        <v>72.27</v>
      </c>
      <c r="K190" s="3">
        <f>F190*J190/1000</f>
        <v>0.43362000000000001</v>
      </c>
    </row>
    <row r="191" spans="1:26">
      <c r="A191" s="53"/>
      <c r="E191" s="64" t="s">
        <v>105</v>
      </c>
      <c r="F191" s="65">
        <f>5*H193/200</f>
        <v>5</v>
      </c>
      <c r="G191" s="66"/>
      <c r="H191" s="330">
        <f>F191</f>
        <v>5</v>
      </c>
      <c r="I191" s="331"/>
      <c r="J191" s="3">
        <v>497.15</v>
      </c>
      <c r="K191" s="3">
        <f>F191*J191/1000</f>
        <v>2.4857499999999999</v>
      </c>
    </row>
    <row r="192" spans="1:26">
      <c r="A192" s="53"/>
      <c r="E192" s="61" t="s">
        <v>106</v>
      </c>
      <c r="F192" s="67">
        <f>0.5*H193/200</f>
        <v>0.5</v>
      </c>
      <c r="G192" s="68"/>
      <c r="H192" s="329">
        <f>F192</f>
        <v>0.5</v>
      </c>
      <c r="I192" s="329"/>
      <c r="J192" s="3">
        <v>17</v>
      </c>
      <c r="K192" s="3">
        <f>F192*J192/1000</f>
        <v>8.5000000000000006E-3</v>
      </c>
    </row>
    <row r="193" spans="1:26">
      <c r="A193" s="53"/>
      <c r="E193" s="70" t="s">
        <v>108</v>
      </c>
      <c r="F193" s="117" t="s">
        <v>109</v>
      </c>
      <c r="G193" s="118"/>
      <c r="H193" s="332">
        <v>200</v>
      </c>
      <c r="I193" s="332"/>
      <c r="J193" s="3" t="s">
        <v>172</v>
      </c>
    </row>
    <row r="195" spans="1:26">
      <c r="A195" s="53"/>
      <c r="C195" s="51" t="s">
        <v>130</v>
      </c>
      <c r="D195" s="53">
        <v>200</v>
      </c>
      <c r="F195" s="136" t="s">
        <v>100</v>
      </c>
      <c r="G195" s="137"/>
      <c r="H195" s="333" t="s">
        <v>101</v>
      </c>
      <c r="I195" s="333"/>
      <c r="K195" s="135">
        <f>SUM(K196:K199)</f>
        <v>7.5810500000000003</v>
      </c>
    </row>
    <row r="196" spans="1:26">
      <c r="A196" s="53"/>
      <c r="E196" s="61" t="s">
        <v>131</v>
      </c>
      <c r="F196" s="62">
        <v>4</v>
      </c>
      <c r="G196" s="63"/>
      <c r="H196" s="329">
        <v>4</v>
      </c>
      <c r="I196" s="329"/>
      <c r="J196" s="3">
        <v>420</v>
      </c>
      <c r="K196" s="3">
        <f>J196*F196/1000</f>
        <v>1.68</v>
      </c>
    </row>
    <row r="197" spans="1:26">
      <c r="A197" s="53"/>
      <c r="E197" s="64" t="s">
        <v>107</v>
      </c>
      <c r="F197" s="65">
        <v>15</v>
      </c>
      <c r="G197" s="66"/>
      <c r="H197" s="330">
        <v>15</v>
      </c>
      <c r="I197" s="331"/>
      <c r="J197" s="3">
        <v>72.27</v>
      </c>
      <c r="K197" s="3">
        <f>J197*F197/1000</f>
        <v>1.08405</v>
      </c>
    </row>
    <row r="198" spans="1:26">
      <c r="A198" s="53"/>
      <c r="E198" s="64" t="s">
        <v>65</v>
      </c>
      <c r="F198" s="65">
        <v>100</v>
      </c>
      <c r="G198" s="66"/>
      <c r="H198" s="330">
        <v>100</v>
      </c>
      <c r="I198" s="331"/>
      <c r="J198" s="3">
        <v>48.17</v>
      </c>
      <c r="K198" s="3">
        <f>J198*F198/1000</f>
        <v>4.8170000000000002</v>
      </c>
    </row>
    <row r="199" spans="1:26">
      <c r="E199" s="64" t="s">
        <v>104</v>
      </c>
      <c r="F199" s="67">
        <v>81</v>
      </c>
      <c r="G199" s="68"/>
      <c r="H199" s="330">
        <v>81</v>
      </c>
      <c r="I199" s="331"/>
      <c r="J199" s="3">
        <v>0</v>
      </c>
      <c r="K199" s="3">
        <f>J199*F199/1000</f>
        <v>0</v>
      </c>
    </row>
    <row r="200" spans="1:26">
      <c r="E200" s="70" t="s">
        <v>108</v>
      </c>
      <c r="F200" s="117" t="s">
        <v>109</v>
      </c>
      <c r="G200" s="118"/>
      <c r="H200" s="332">
        <v>200</v>
      </c>
      <c r="I200" s="332"/>
    </row>
    <row r="202" spans="1:26">
      <c r="C202" s="51" t="s">
        <v>142</v>
      </c>
      <c r="D202" s="53">
        <v>40</v>
      </c>
      <c r="J202" s="3">
        <v>59.55</v>
      </c>
      <c r="K202" s="135">
        <f>D202*J202/1000</f>
        <v>2.3820000000000001</v>
      </c>
    </row>
    <row r="203" spans="1:26" ht="16.5" thickBot="1">
      <c r="A203" s="81"/>
      <c r="B203" s="81"/>
      <c r="C203" s="81"/>
      <c r="D203" s="82"/>
      <c r="E203" s="82"/>
      <c r="F203" s="82"/>
      <c r="G203" s="82"/>
      <c r="H203" s="82"/>
      <c r="I203" s="82"/>
      <c r="J203" s="83"/>
      <c r="K203" s="83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 spans="1:26">
      <c r="A204" s="51">
        <v>7</v>
      </c>
      <c r="B204" s="51" t="s">
        <v>71</v>
      </c>
      <c r="C204" s="86"/>
      <c r="D204" s="87">
        <v>100</v>
      </c>
      <c r="E204" s="232" t="s">
        <v>342</v>
      </c>
      <c r="F204" s="395">
        <v>100</v>
      </c>
      <c r="G204" s="395"/>
      <c r="H204" s="87"/>
      <c r="I204" s="87"/>
      <c r="J204" s="31">
        <v>65</v>
      </c>
      <c r="K204" s="114">
        <f>F204*J204/1000</f>
        <v>6.5</v>
      </c>
    </row>
    <row r="205" spans="1:26">
      <c r="A205" s="51" t="s">
        <v>113</v>
      </c>
      <c r="B205" s="138">
        <f>K204+K206+K220+K228+K233</f>
        <v>54.430584500000002</v>
      </c>
    </row>
    <row r="206" spans="1:26">
      <c r="B206" s="51">
        <f>D204+D206+D220+D228+D233</f>
        <v>580</v>
      </c>
      <c r="C206" s="90" t="s">
        <v>177</v>
      </c>
      <c r="D206" s="53">
        <v>90</v>
      </c>
      <c r="F206" s="344" t="s">
        <v>100</v>
      </c>
      <c r="G206" s="333"/>
      <c r="H206" s="344" t="s">
        <v>101</v>
      </c>
      <c r="I206" s="333"/>
      <c r="K206" s="139">
        <f>SUM(K207:K217)</f>
        <v>40.078084500000003</v>
      </c>
    </row>
    <row r="207" spans="1:26">
      <c r="A207" s="51">
        <f>D204+D206+D220+D228+D233</f>
        <v>580</v>
      </c>
      <c r="B207" s="52"/>
      <c r="E207" s="91" t="s">
        <v>115</v>
      </c>
      <c r="F207" s="140">
        <v>65.7</v>
      </c>
      <c r="G207" s="141"/>
      <c r="H207" s="354">
        <v>46.8</v>
      </c>
      <c r="I207" s="355"/>
      <c r="J207" s="3">
        <v>548</v>
      </c>
      <c r="K207" s="3">
        <f>F207*J207/1000</f>
        <v>36.003599999999999</v>
      </c>
    </row>
    <row r="208" spans="1:26">
      <c r="A208" s="53"/>
      <c r="B208" s="53"/>
      <c r="E208" s="91" t="s">
        <v>117</v>
      </c>
      <c r="F208" s="142">
        <v>9.4499999999999993</v>
      </c>
      <c r="G208" s="143"/>
      <c r="H208" s="349">
        <v>9.4499999999999993</v>
      </c>
      <c r="I208" s="350"/>
      <c r="J208" s="3">
        <v>50.09</v>
      </c>
      <c r="K208" s="3">
        <f>F208*J208/1000</f>
        <v>0.47335050000000001</v>
      </c>
    </row>
    <row r="209" spans="1:11">
      <c r="A209" s="53"/>
      <c r="B209" s="53"/>
      <c r="E209" s="91" t="s">
        <v>104</v>
      </c>
      <c r="F209" s="142">
        <v>16.38</v>
      </c>
      <c r="G209" s="143"/>
      <c r="H209" s="349">
        <v>16.38</v>
      </c>
      <c r="I209" s="350"/>
      <c r="J209" s="3">
        <v>0</v>
      </c>
      <c r="K209" s="3">
        <f>F209*J209/1000</f>
        <v>0</v>
      </c>
    </row>
    <row r="210" spans="1:11">
      <c r="A210" s="53"/>
      <c r="B210" s="53"/>
      <c r="E210" s="91" t="s">
        <v>105</v>
      </c>
      <c r="F210" s="142">
        <v>1.8</v>
      </c>
      <c r="G210" s="143"/>
      <c r="H210" s="349">
        <v>1.8</v>
      </c>
      <c r="I210" s="350"/>
      <c r="J210" s="3">
        <v>497.15</v>
      </c>
      <c r="K210" s="3">
        <f>F210*J210/1000</f>
        <v>0.89487000000000005</v>
      </c>
    </row>
    <row r="211" spans="1:11">
      <c r="A211" s="53"/>
      <c r="B211" s="53"/>
      <c r="E211" s="91" t="s">
        <v>119</v>
      </c>
      <c r="F211" s="144" t="s">
        <v>109</v>
      </c>
      <c r="G211" s="145"/>
      <c r="H211" s="351">
        <v>73.8</v>
      </c>
      <c r="I211" s="352"/>
    </row>
    <row r="212" spans="1:11" ht="25.5">
      <c r="A212" s="53"/>
      <c r="B212" s="53"/>
      <c r="E212" s="140" t="s">
        <v>178</v>
      </c>
      <c r="F212" s="91" t="s">
        <v>109</v>
      </c>
      <c r="G212" s="92"/>
      <c r="H212" s="346">
        <v>27</v>
      </c>
      <c r="I212" s="347"/>
    </row>
    <row r="213" spans="1:11">
      <c r="A213" s="53"/>
      <c r="B213" s="53"/>
      <c r="E213" s="91" t="s">
        <v>103</v>
      </c>
      <c r="F213" s="91">
        <v>27</v>
      </c>
      <c r="G213" s="92"/>
      <c r="H213" s="346">
        <v>27</v>
      </c>
      <c r="I213" s="347"/>
      <c r="J213" s="3">
        <v>57.5</v>
      </c>
      <c r="K213" s="3">
        <f>F213*J213/1000</f>
        <v>1.5525</v>
      </c>
    </row>
    <row r="214" spans="1:11">
      <c r="A214" s="53"/>
      <c r="B214" s="53"/>
      <c r="E214" s="91" t="s">
        <v>34</v>
      </c>
      <c r="F214" s="91">
        <v>2.16</v>
      </c>
      <c r="G214" s="92"/>
      <c r="H214" s="346">
        <v>2.16</v>
      </c>
      <c r="I214" s="347"/>
      <c r="J214" s="3">
        <v>37</v>
      </c>
      <c r="K214" s="3">
        <f>F214*J214/1000</f>
        <v>7.9920000000000005E-2</v>
      </c>
    </row>
    <row r="215" spans="1:11">
      <c r="A215" s="53"/>
      <c r="B215" s="53"/>
      <c r="E215" s="91" t="s">
        <v>105</v>
      </c>
      <c r="F215" s="91">
        <v>2.16</v>
      </c>
      <c r="G215" s="92"/>
      <c r="H215" s="346">
        <v>2.16</v>
      </c>
      <c r="I215" s="347"/>
      <c r="J215" s="3">
        <v>497.15</v>
      </c>
      <c r="K215" s="3">
        <f>F215*J215/1000</f>
        <v>1.073844</v>
      </c>
    </row>
    <row r="216" spans="1:11">
      <c r="A216" s="53"/>
      <c r="B216" s="53"/>
      <c r="E216" s="97" t="s">
        <v>127</v>
      </c>
      <c r="F216" s="348">
        <v>90</v>
      </c>
      <c r="G216" s="348"/>
      <c r="H216" s="348"/>
      <c r="I216" s="348"/>
      <c r="K216" s="3">
        <f>F216*J216/1000</f>
        <v>0</v>
      </c>
    </row>
    <row r="217" spans="1:11">
      <c r="A217" s="53"/>
      <c r="B217" s="53"/>
      <c r="E217" s="61"/>
      <c r="F217" s="146"/>
      <c r="G217" s="146"/>
      <c r="H217" s="147"/>
      <c r="I217" s="148"/>
      <c r="K217" s="3">
        <f>F217*J217/1000</f>
        <v>0</v>
      </c>
    </row>
    <row r="218" spans="1:11">
      <c r="A218" s="53"/>
      <c r="B218" s="53"/>
      <c r="E218" s="70"/>
      <c r="F218" s="146"/>
      <c r="G218" s="146"/>
      <c r="H218" s="117"/>
      <c r="I218" s="118"/>
    </row>
    <row r="220" spans="1:11">
      <c r="A220" s="53"/>
      <c r="B220" s="53"/>
      <c r="C220" s="51" t="s">
        <v>179</v>
      </c>
      <c r="D220" s="53">
        <v>150</v>
      </c>
      <c r="F220" s="333" t="s">
        <v>100</v>
      </c>
      <c r="G220" s="333"/>
      <c r="H220" s="333" t="s">
        <v>101</v>
      </c>
      <c r="I220" s="333"/>
      <c r="K220" s="139">
        <f>SUM(K221:K225)</f>
        <v>4.4648500000000002</v>
      </c>
    </row>
    <row r="221" spans="1:11">
      <c r="A221" s="53"/>
      <c r="B221" s="53"/>
      <c r="E221" s="61" t="s">
        <v>129</v>
      </c>
      <c r="F221" s="62">
        <v>16</v>
      </c>
      <c r="G221" s="63"/>
      <c r="H221" s="329">
        <v>16</v>
      </c>
      <c r="I221" s="329"/>
      <c r="J221" s="3">
        <v>84</v>
      </c>
      <c r="K221" s="3">
        <f>F221*J221/1000</f>
        <v>1.3440000000000001</v>
      </c>
    </row>
    <row r="222" spans="1:11">
      <c r="E222" s="64" t="s">
        <v>104</v>
      </c>
      <c r="F222" s="65">
        <v>120</v>
      </c>
      <c r="G222" s="66"/>
      <c r="H222" s="330">
        <v>120</v>
      </c>
      <c r="I222" s="331"/>
      <c r="J222" s="3">
        <v>0</v>
      </c>
      <c r="K222" s="3">
        <f>F222*J222/1000</f>
        <v>0</v>
      </c>
    </row>
    <row r="223" spans="1:11">
      <c r="E223" s="61" t="s">
        <v>180</v>
      </c>
      <c r="F223" s="65">
        <v>18</v>
      </c>
      <c r="G223" s="66"/>
      <c r="H223" s="329">
        <v>18</v>
      </c>
      <c r="I223" s="329"/>
      <c r="J223" s="3">
        <v>35</v>
      </c>
      <c r="K223" s="3">
        <f>F223*J223/1000</f>
        <v>0.63</v>
      </c>
    </row>
    <row r="224" spans="1:11">
      <c r="E224" s="61" t="s">
        <v>106</v>
      </c>
      <c r="F224" s="65">
        <v>0.3</v>
      </c>
      <c r="G224" s="66"/>
      <c r="H224" s="329">
        <v>0.3</v>
      </c>
      <c r="I224" s="329"/>
      <c r="J224" s="3">
        <v>17</v>
      </c>
      <c r="K224" s="3">
        <f>F224*J224/1000</f>
        <v>5.0999999999999995E-3</v>
      </c>
    </row>
    <row r="225" spans="1:26">
      <c r="E225" s="61" t="s">
        <v>105</v>
      </c>
      <c r="F225" s="67">
        <v>5</v>
      </c>
      <c r="G225" s="68"/>
      <c r="H225" s="329">
        <v>5</v>
      </c>
      <c r="I225" s="329"/>
      <c r="J225" s="3">
        <v>497.15</v>
      </c>
      <c r="K225" s="3">
        <f>F225*J225/1000</f>
        <v>2.4857499999999999</v>
      </c>
    </row>
    <row r="226" spans="1:26">
      <c r="E226" s="70" t="s">
        <v>108</v>
      </c>
      <c r="F226" s="117" t="s">
        <v>109</v>
      </c>
      <c r="G226" s="118"/>
      <c r="H226" s="332">
        <v>150</v>
      </c>
      <c r="I226" s="332"/>
    </row>
    <row r="228" spans="1:26">
      <c r="C228" s="51" t="s">
        <v>141</v>
      </c>
      <c r="D228" s="53">
        <v>200</v>
      </c>
      <c r="F228" s="136" t="s">
        <v>100</v>
      </c>
      <c r="G228" s="137"/>
      <c r="H228" s="333" t="s">
        <v>101</v>
      </c>
      <c r="I228" s="333"/>
      <c r="K228" s="139">
        <f>K229+K230</f>
        <v>1.38405</v>
      </c>
    </row>
    <row r="229" spans="1:26">
      <c r="E229" s="61" t="s">
        <v>8</v>
      </c>
      <c r="F229" s="62">
        <v>0.6</v>
      </c>
      <c r="G229" s="63"/>
      <c r="H229" s="329">
        <v>0.6</v>
      </c>
      <c r="I229" s="329"/>
      <c r="J229" s="3">
        <v>500</v>
      </c>
      <c r="K229" s="3">
        <f>J229*F229/1000</f>
        <v>0.3</v>
      </c>
    </row>
    <row r="230" spans="1:26">
      <c r="E230" s="64" t="s">
        <v>107</v>
      </c>
      <c r="F230" s="67">
        <v>15</v>
      </c>
      <c r="G230" s="68"/>
      <c r="H230" s="330">
        <v>15</v>
      </c>
      <c r="I230" s="331"/>
      <c r="J230" s="3">
        <v>72.27</v>
      </c>
      <c r="K230" s="3">
        <f>J230*F230/1000</f>
        <v>1.08405</v>
      </c>
    </row>
    <row r="231" spans="1:26">
      <c r="E231" s="70" t="s">
        <v>108</v>
      </c>
      <c r="F231" s="117" t="s">
        <v>109</v>
      </c>
      <c r="G231" s="118"/>
      <c r="H231" s="332">
        <v>200</v>
      </c>
      <c r="I231" s="332"/>
    </row>
    <row r="233" spans="1:26">
      <c r="C233" s="51" t="s">
        <v>112</v>
      </c>
      <c r="D233" s="53">
        <v>40</v>
      </c>
      <c r="J233" s="3">
        <v>50.09</v>
      </c>
      <c r="K233" s="139">
        <f>D233*J233/1000</f>
        <v>2.0036</v>
      </c>
    </row>
    <row r="234" spans="1:26" ht="16.5" thickBot="1">
      <c r="A234" s="81"/>
      <c r="B234" s="81"/>
      <c r="C234" s="81"/>
      <c r="D234" s="82"/>
      <c r="E234" s="82"/>
      <c r="F234" s="82"/>
      <c r="G234" s="82"/>
      <c r="H234" s="82"/>
      <c r="I234" s="82"/>
      <c r="J234" s="83"/>
      <c r="K234" s="83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 spans="1:26">
      <c r="A235" s="51">
        <v>8</v>
      </c>
      <c r="B235" s="51" t="s">
        <v>71</v>
      </c>
    </row>
    <row r="236" spans="1:26">
      <c r="A236" s="51" t="s">
        <v>132</v>
      </c>
      <c r="B236" s="149">
        <f>K236+K238+K242+K254+K260</f>
        <v>53.416423157894734</v>
      </c>
      <c r="J236" s="114"/>
      <c r="K236" s="115"/>
    </row>
    <row r="237" spans="1:26">
      <c r="B237" s="51">
        <f>D236+D238+D242+D254+D260</f>
        <v>440</v>
      </c>
    </row>
    <row r="238" spans="1:26">
      <c r="A238" s="53"/>
      <c r="B238" s="53"/>
      <c r="C238" s="51" t="s">
        <v>136</v>
      </c>
      <c r="D238" s="53">
        <v>30</v>
      </c>
      <c r="F238" s="150" t="s">
        <v>100</v>
      </c>
      <c r="G238" s="150" t="s">
        <v>101</v>
      </c>
      <c r="K238" s="115">
        <f>K239</f>
        <v>7.7652631578947364</v>
      </c>
    </row>
    <row r="239" spans="1:26">
      <c r="A239" s="53"/>
      <c r="B239" s="53"/>
      <c r="E239" s="151" t="s">
        <v>136</v>
      </c>
      <c r="F239" s="152">
        <v>30</v>
      </c>
      <c r="G239" s="152">
        <f t="shared" ref="G239" si="9">F239</f>
        <v>30</v>
      </c>
      <c r="J239" s="31">
        <v>98.36</v>
      </c>
      <c r="K239" s="3">
        <f>J239/380*F239</f>
        <v>7.7652631578947364</v>
      </c>
    </row>
    <row r="240" spans="1:26">
      <c r="A240" s="53"/>
      <c r="B240" s="53"/>
      <c r="E240" s="153" t="s">
        <v>108</v>
      </c>
      <c r="F240" s="154" t="s">
        <v>109</v>
      </c>
      <c r="G240" s="155">
        <v>30</v>
      </c>
    </row>
    <row r="242" spans="1:11">
      <c r="A242" s="53"/>
      <c r="B242" s="53"/>
      <c r="C242" s="51" t="s">
        <v>181</v>
      </c>
      <c r="D242" s="53">
        <v>170</v>
      </c>
      <c r="F242" s="333" t="s">
        <v>100</v>
      </c>
      <c r="G242" s="333"/>
      <c r="H242" s="333" t="s">
        <v>101</v>
      </c>
      <c r="I242" s="333"/>
      <c r="K242" s="115">
        <f>SUM(K243:K251)</f>
        <v>41.795110000000001</v>
      </c>
    </row>
    <row r="243" spans="1:11">
      <c r="A243" s="53"/>
      <c r="B243" s="53"/>
      <c r="E243" s="61" t="s">
        <v>182</v>
      </c>
      <c r="F243" s="156">
        <f>134*H252/170</f>
        <v>134</v>
      </c>
      <c r="G243" s="157"/>
      <c r="H243" s="345">
        <f>F243</f>
        <v>134</v>
      </c>
      <c r="I243" s="345"/>
      <c r="J243" s="3">
        <v>260</v>
      </c>
      <c r="K243" s="3">
        <f t="shared" ref="K243:K251" si="10">J243*F243/1000</f>
        <v>34.840000000000003</v>
      </c>
    </row>
    <row r="244" spans="1:11">
      <c r="A244" s="53"/>
      <c r="B244" s="53"/>
      <c r="E244" s="64" t="s">
        <v>129</v>
      </c>
      <c r="F244" s="158">
        <f>18*H252/170</f>
        <v>18</v>
      </c>
      <c r="G244" s="159"/>
      <c r="H244" s="345">
        <f t="shared" ref="H244:H251" si="11">F244</f>
        <v>18</v>
      </c>
      <c r="I244" s="345"/>
      <c r="J244" s="3">
        <v>84</v>
      </c>
      <c r="K244" s="3">
        <f t="shared" si="10"/>
        <v>1.512</v>
      </c>
    </row>
    <row r="245" spans="1:11">
      <c r="A245" s="53"/>
      <c r="B245" s="53"/>
      <c r="E245" s="64" t="s">
        <v>103</v>
      </c>
      <c r="F245" s="158">
        <f>40*H252/170</f>
        <v>40</v>
      </c>
      <c r="G245" s="159"/>
      <c r="H245" s="345">
        <f t="shared" si="11"/>
        <v>40</v>
      </c>
      <c r="I245" s="345"/>
      <c r="J245" s="3">
        <v>57.5</v>
      </c>
      <c r="K245" s="3">
        <f t="shared" si="10"/>
        <v>2.2999999999999998</v>
      </c>
    </row>
    <row r="246" spans="1:11">
      <c r="A246" s="53"/>
      <c r="B246" s="53"/>
      <c r="E246" s="64" t="s">
        <v>140</v>
      </c>
      <c r="F246" s="158">
        <f>0.02*H252/170</f>
        <v>0.02</v>
      </c>
      <c r="G246" s="159"/>
      <c r="H246" s="345">
        <f t="shared" si="11"/>
        <v>0.02</v>
      </c>
      <c r="I246" s="345"/>
      <c r="J246" s="3">
        <v>1200</v>
      </c>
      <c r="K246" s="3">
        <f t="shared" si="10"/>
        <v>2.4E-2</v>
      </c>
    </row>
    <row r="247" spans="1:11">
      <c r="A247" s="53"/>
      <c r="B247" s="53"/>
      <c r="E247" s="64" t="s">
        <v>154</v>
      </c>
      <c r="F247" s="158">
        <f>9*H252/170</f>
        <v>9</v>
      </c>
      <c r="G247" s="159"/>
      <c r="H247" s="345">
        <f t="shared" si="11"/>
        <v>9</v>
      </c>
      <c r="I247" s="345"/>
      <c r="J247" s="3">
        <v>140</v>
      </c>
      <c r="K247" s="3">
        <f t="shared" si="10"/>
        <v>1.26</v>
      </c>
    </row>
    <row r="248" spans="1:11">
      <c r="A248" s="53"/>
      <c r="B248" s="53"/>
      <c r="E248" s="64" t="s">
        <v>107</v>
      </c>
      <c r="F248" s="158">
        <f>3*H252/170</f>
        <v>3</v>
      </c>
      <c r="G248" s="159"/>
      <c r="H248" s="345">
        <f t="shared" si="11"/>
        <v>3</v>
      </c>
      <c r="I248" s="345"/>
      <c r="J248" s="3">
        <v>72.27</v>
      </c>
      <c r="K248" s="3">
        <f t="shared" si="10"/>
        <v>0.21681</v>
      </c>
    </row>
    <row r="249" spans="1:11">
      <c r="A249" s="53"/>
      <c r="B249" s="53"/>
      <c r="E249" s="64" t="s">
        <v>118</v>
      </c>
      <c r="F249" s="158">
        <f>1.5*H252/170</f>
        <v>1.5</v>
      </c>
      <c r="G249" s="159"/>
      <c r="H249" s="345">
        <f t="shared" si="11"/>
        <v>1.5</v>
      </c>
      <c r="I249" s="345"/>
      <c r="J249" s="3">
        <v>200</v>
      </c>
      <c r="K249" s="3">
        <f t="shared" si="10"/>
        <v>0.3</v>
      </c>
    </row>
    <row r="250" spans="1:11">
      <c r="A250" s="53"/>
      <c r="B250" s="53"/>
      <c r="E250" s="64" t="s">
        <v>4</v>
      </c>
      <c r="F250" s="158">
        <f>2*H252/170</f>
        <v>2</v>
      </c>
      <c r="G250" s="159"/>
      <c r="H250" s="345">
        <f t="shared" si="11"/>
        <v>2</v>
      </c>
      <c r="I250" s="345"/>
      <c r="J250" s="3">
        <v>174</v>
      </c>
      <c r="K250" s="3">
        <f t="shared" si="10"/>
        <v>0.34799999999999998</v>
      </c>
    </row>
    <row r="251" spans="1:11">
      <c r="A251" s="53"/>
      <c r="B251" s="53"/>
      <c r="E251" s="64" t="s">
        <v>105</v>
      </c>
      <c r="F251" s="160">
        <f>2*H252/170</f>
        <v>2</v>
      </c>
      <c r="G251" s="161"/>
      <c r="H251" s="345">
        <f t="shared" si="11"/>
        <v>2</v>
      </c>
      <c r="I251" s="345"/>
      <c r="J251" s="3">
        <v>497.15</v>
      </c>
      <c r="K251" s="3">
        <f t="shared" si="10"/>
        <v>0.99429999999999996</v>
      </c>
    </row>
    <row r="252" spans="1:11">
      <c r="A252" s="53"/>
      <c r="B252" s="53"/>
      <c r="E252" s="70" t="s">
        <v>108</v>
      </c>
      <c r="F252" s="117" t="s">
        <v>109</v>
      </c>
      <c r="G252" s="118"/>
      <c r="H252" s="332">
        <v>170</v>
      </c>
      <c r="I252" s="332"/>
    </row>
    <row r="254" spans="1:11">
      <c r="C254" s="51" t="s">
        <v>141</v>
      </c>
      <c r="D254" s="53">
        <v>200</v>
      </c>
      <c r="F254" s="136" t="s">
        <v>100</v>
      </c>
      <c r="G254" s="137"/>
      <c r="H254" s="333" t="s">
        <v>101</v>
      </c>
      <c r="I254" s="333"/>
      <c r="K254" s="139">
        <f>K255+K256</f>
        <v>1.4740500000000001</v>
      </c>
    </row>
    <row r="255" spans="1:11">
      <c r="E255" s="61" t="s">
        <v>8</v>
      </c>
      <c r="F255" s="62">
        <v>0.6</v>
      </c>
      <c r="G255" s="63"/>
      <c r="H255" s="329">
        <v>0.6</v>
      </c>
      <c r="I255" s="329"/>
      <c r="J255" s="3">
        <v>650</v>
      </c>
      <c r="K255" s="3">
        <f>J255*F255/1000</f>
        <v>0.39</v>
      </c>
    </row>
    <row r="256" spans="1:11">
      <c r="E256" s="64" t="s">
        <v>107</v>
      </c>
      <c r="F256" s="67">
        <v>15</v>
      </c>
      <c r="G256" s="68"/>
      <c r="H256" s="330">
        <v>15</v>
      </c>
      <c r="I256" s="331"/>
      <c r="J256" s="3">
        <v>72.27</v>
      </c>
      <c r="K256" s="3">
        <f>J256*F256/1000</f>
        <v>1.08405</v>
      </c>
    </row>
    <row r="257" spans="1:26">
      <c r="E257" s="70" t="s">
        <v>108</v>
      </c>
      <c r="F257" s="117" t="s">
        <v>109</v>
      </c>
      <c r="G257" s="118"/>
      <c r="H257" s="332">
        <v>200</v>
      </c>
      <c r="I257" s="332"/>
    </row>
    <row r="258" spans="1:26">
      <c r="E258" s="70"/>
      <c r="F258" s="336"/>
      <c r="G258" s="336"/>
      <c r="H258" s="336"/>
      <c r="I258" s="336"/>
    </row>
    <row r="260" spans="1:26">
      <c r="C260" s="51" t="s">
        <v>142</v>
      </c>
      <c r="D260" s="53">
        <v>40</v>
      </c>
      <c r="J260" s="3">
        <v>59.55</v>
      </c>
      <c r="K260" s="115">
        <f>D260*J260/1000</f>
        <v>2.3820000000000001</v>
      </c>
    </row>
    <row r="261" spans="1:26" ht="16.5" thickBot="1">
      <c r="A261" s="81"/>
      <c r="B261" s="81"/>
      <c r="C261" s="81"/>
      <c r="D261" s="82"/>
      <c r="E261" s="82"/>
      <c r="F261" s="82"/>
      <c r="G261" s="82"/>
      <c r="H261" s="82"/>
      <c r="I261" s="82"/>
      <c r="J261" s="83"/>
      <c r="K261" s="83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spans="1:26">
      <c r="A262" s="51">
        <v>9</v>
      </c>
      <c r="B262" s="51" t="s">
        <v>71</v>
      </c>
      <c r="C262" s="86"/>
      <c r="D262" s="87"/>
      <c r="E262" s="87"/>
      <c r="F262" s="393"/>
      <c r="G262" s="394"/>
      <c r="H262" s="393"/>
      <c r="I262" s="394"/>
      <c r="J262" s="31"/>
      <c r="K262" s="114"/>
    </row>
    <row r="263" spans="1:26">
      <c r="B263" s="162">
        <f>K263+K267+K292+K298+K300+K307</f>
        <v>69.731814</v>
      </c>
      <c r="C263" s="86" t="s">
        <v>345</v>
      </c>
      <c r="D263" s="87">
        <v>40</v>
      </c>
      <c r="E263" s="87"/>
      <c r="F263" s="87">
        <v>40</v>
      </c>
      <c r="G263" s="87"/>
      <c r="H263" s="87"/>
      <c r="I263" s="87"/>
      <c r="J263" s="31">
        <v>133</v>
      </c>
      <c r="K263" s="88">
        <f>J263*F263/1000</f>
        <v>5.32</v>
      </c>
      <c r="L263" s="220"/>
    </row>
    <row r="264" spans="1:26">
      <c r="B264" s="51">
        <f>D263+D267+D292+D298+D300+D307</f>
        <v>630</v>
      </c>
      <c r="C264" s="86"/>
      <c r="D264" s="87"/>
      <c r="E264" s="235"/>
      <c r="F264" s="236"/>
      <c r="G264" s="236"/>
      <c r="H264" s="236"/>
      <c r="I264" s="236"/>
      <c r="J264" s="234"/>
      <c r="K264" s="234"/>
      <c r="L264" s="220"/>
    </row>
    <row r="265" spans="1:26">
      <c r="B265" s="163"/>
      <c r="E265" s="220"/>
      <c r="F265" s="220"/>
      <c r="G265" s="220"/>
      <c r="H265" s="220"/>
      <c r="I265" s="220"/>
      <c r="J265" s="221"/>
      <c r="K265" s="219"/>
      <c r="L265" s="220"/>
    </row>
    <row r="267" spans="1:26">
      <c r="C267" s="53" t="s">
        <v>183</v>
      </c>
      <c r="D267" s="53">
        <v>100</v>
      </c>
      <c r="F267" s="385" t="s">
        <v>100</v>
      </c>
      <c r="G267" s="386"/>
      <c r="H267" s="385" t="s">
        <v>101</v>
      </c>
      <c r="I267" s="386"/>
      <c r="K267" s="164">
        <f>SUM(K268:K287)</f>
        <v>42.517613999999995</v>
      </c>
    </row>
    <row r="268" spans="1:26">
      <c r="E268" s="91" t="s">
        <v>115</v>
      </c>
      <c r="F268" s="91">
        <v>69.400000000000006</v>
      </c>
      <c r="G268" s="92"/>
      <c r="H268" s="346">
        <v>50.7</v>
      </c>
      <c r="I268" s="347"/>
      <c r="J268" s="3">
        <v>548</v>
      </c>
      <c r="K268" s="3">
        <f>F268*J268/1000</f>
        <v>38.031200000000005</v>
      </c>
    </row>
    <row r="269" spans="1:26">
      <c r="A269" s="53"/>
      <c r="B269" s="53"/>
      <c r="E269" s="91" t="s">
        <v>103</v>
      </c>
      <c r="F269" s="91">
        <v>16</v>
      </c>
      <c r="G269" s="92"/>
      <c r="H269" s="346">
        <v>16</v>
      </c>
      <c r="I269" s="347"/>
      <c r="J269" s="3">
        <v>57.5</v>
      </c>
      <c r="K269" s="3">
        <f>F269*J269/1000</f>
        <v>0.92</v>
      </c>
    </row>
    <row r="270" spans="1:26">
      <c r="A270" s="53"/>
      <c r="B270" s="53"/>
      <c r="E270" s="91" t="s">
        <v>117</v>
      </c>
      <c r="F270" s="91">
        <v>11</v>
      </c>
      <c r="G270" s="92"/>
      <c r="H270" s="346">
        <v>11</v>
      </c>
      <c r="I270" s="347"/>
      <c r="J270" s="3">
        <v>50.09</v>
      </c>
      <c r="K270" s="3">
        <f>F270*J270/1000</f>
        <v>0.55098999999999998</v>
      </c>
    </row>
    <row r="271" spans="1:26">
      <c r="A271" s="53"/>
      <c r="B271" s="53"/>
      <c r="E271" s="91" t="s">
        <v>44</v>
      </c>
      <c r="F271" s="91">
        <v>31</v>
      </c>
      <c r="G271" s="92"/>
      <c r="H271" s="346">
        <v>26</v>
      </c>
      <c r="I271" s="347"/>
      <c r="J271" s="3">
        <v>20</v>
      </c>
      <c r="K271" s="3">
        <f>F271*J271/1000</f>
        <v>0.62</v>
      </c>
    </row>
    <row r="272" spans="1:26">
      <c r="A272" s="53"/>
      <c r="B272" s="53"/>
      <c r="E272" s="91" t="s">
        <v>5</v>
      </c>
      <c r="F272" s="91">
        <v>4</v>
      </c>
      <c r="G272" s="92"/>
      <c r="H272" s="346">
        <v>4</v>
      </c>
      <c r="I272" s="347"/>
      <c r="J272" s="3">
        <v>152</v>
      </c>
      <c r="K272" s="3">
        <f>F272*J272/1000</f>
        <v>0.60799999999999998</v>
      </c>
    </row>
    <row r="273" spans="1:11">
      <c r="A273" s="53"/>
      <c r="B273" s="53"/>
      <c r="E273" s="91" t="s">
        <v>184</v>
      </c>
      <c r="F273" s="91" t="s">
        <v>109</v>
      </c>
      <c r="G273" s="92"/>
      <c r="H273" s="346">
        <v>13</v>
      </c>
      <c r="I273" s="347"/>
    </row>
    <row r="274" spans="1:11">
      <c r="A274" s="53"/>
      <c r="B274" s="53"/>
      <c r="E274" s="91" t="s">
        <v>185</v>
      </c>
      <c r="F274" s="91" t="s">
        <v>109</v>
      </c>
      <c r="G274" s="92"/>
      <c r="H274" s="346">
        <v>80</v>
      </c>
      <c r="I274" s="347"/>
    </row>
    <row r="275" spans="1:11">
      <c r="A275" s="53"/>
      <c r="B275" s="53"/>
      <c r="E275" s="91" t="s">
        <v>34</v>
      </c>
      <c r="F275" s="91">
        <v>5.3</v>
      </c>
      <c r="G275" s="92"/>
      <c r="H275" s="346">
        <v>5.3</v>
      </c>
      <c r="I275" s="347"/>
      <c r="J275" s="3">
        <v>37</v>
      </c>
      <c r="K275" s="3">
        <f>F275*J275/1000</f>
        <v>0.1961</v>
      </c>
    </row>
    <row r="276" spans="1:11">
      <c r="A276" s="53"/>
      <c r="B276" s="53"/>
      <c r="E276" s="91" t="s">
        <v>124</v>
      </c>
      <c r="F276" s="91">
        <v>0.35</v>
      </c>
      <c r="G276" s="92"/>
      <c r="H276" s="346">
        <v>0.35</v>
      </c>
      <c r="I276" s="347"/>
      <c r="J276" s="3">
        <v>17</v>
      </c>
      <c r="K276" s="3">
        <f>F276*J276/1000</f>
        <v>5.9499999999999996E-3</v>
      </c>
    </row>
    <row r="277" spans="1:11">
      <c r="A277" s="53"/>
      <c r="B277" s="53"/>
      <c r="E277" s="91" t="s">
        <v>119</v>
      </c>
      <c r="F277" s="91" t="s">
        <v>109</v>
      </c>
      <c r="G277" s="92"/>
      <c r="H277" s="346">
        <v>95</v>
      </c>
      <c r="I277" s="347"/>
    </row>
    <row r="278" spans="1:11">
      <c r="A278" s="53"/>
      <c r="B278" s="53"/>
      <c r="E278" s="91" t="s">
        <v>5</v>
      </c>
      <c r="F278" s="91">
        <v>4</v>
      </c>
      <c r="G278" s="92"/>
      <c r="H278" s="346">
        <v>4</v>
      </c>
      <c r="I278" s="347"/>
      <c r="J278" s="3">
        <v>152</v>
      </c>
      <c r="K278" s="3">
        <f t="shared" ref="K278:K287" si="12">F278*J278/1000</f>
        <v>0.60799999999999998</v>
      </c>
    </row>
    <row r="279" spans="1:11">
      <c r="A279" s="53"/>
      <c r="B279" s="53"/>
      <c r="E279" s="91" t="s">
        <v>123</v>
      </c>
      <c r="F279" s="91">
        <v>18</v>
      </c>
      <c r="G279" s="92"/>
      <c r="H279" s="346">
        <v>18</v>
      </c>
      <c r="I279" s="347"/>
      <c r="K279" s="3">
        <f t="shared" si="12"/>
        <v>0</v>
      </c>
    </row>
    <row r="280" spans="1:11">
      <c r="A280" s="53"/>
      <c r="B280" s="53"/>
      <c r="E280" s="91" t="s">
        <v>105</v>
      </c>
      <c r="F280" s="91">
        <v>0.9</v>
      </c>
      <c r="G280" s="92"/>
      <c r="H280" s="346">
        <v>0.9</v>
      </c>
      <c r="I280" s="347"/>
      <c r="J280" s="3">
        <v>497.15</v>
      </c>
      <c r="K280" s="3">
        <f t="shared" si="12"/>
        <v>0.44743500000000003</v>
      </c>
    </row>
    <row r="281" spans="1:11">
      <c r="A281" s="53"/>
      <c r="B281" s="53"/>
      <c r="E281" s="91" t="s">
        <v>34</v>
      </c>
      <c r="F281" s="91">
        <v>0.9</v>
      </c>
      <c r="G281" s="92"/>
      <c r="H281" s="346">
        <v>0.9</v>
      </c>
      <c r="I281" s="347"/>
      <c r="J281" s="3">
        <v>37</v>
      </c>
      <c r="K281" s="3">
        <f t="shared" si="12"/>
        <v>3.3300000000000003E-2</v>
      </c>
    </row>
    <row r="282" spans="1:11">
      <c r="A282" s="53"/>
      <c r="B282" s="53"/>
      <c r="E282" s="91" t="s">
        <v>45</v>
      </c>
      <c r="F282" s="91">
        <v>1.5</v>
      </c>
      <c r="G282" s="92"/>
      <c r="H282" s="346">
        <v>1.2</v>
      </c>
      <c r="I282" s="347"/>
      <c r="J282" s="3">
        <v>30</v>
      </c>
      <c r="K282" s="3">
        <f t="shared" si="12"/>
        <v>4.4999999999999998E-2</v>
      </c>
    </row>
    <row r="283" spans="1:11">
      <c r="A283" s="53"/>
      <c r="B283" s="53"/>
      <c r="E283" s="91" t="s">
        <v>44</v>
      </c>
      <c r="F283" s="91">
        <v>0.5</v>
      </c>
      <c r="G283" s="92"/>
      <c r="H283" s="346">
        <v>0.4</v>
      </c>
      <c r="I283" s="347"/>
      <c r="J283" s="3">
        <v>20</v>
      </c>
      <c r="K283" s="3">
        <f t="shared" si="12"/>
        <v>0.01</v>
      </c>
    </row>
    <row r="284" spans="1:11">
      <c r="A284" s="53"/>
      <c r="B284" s="53"/>
      <c r="E284" s="91" t="s">
        <v>126</v>
      </c>
      <c r="F284" s="91">
        <v>2</v>
      </c>
      <c r="G284" s="92"/>
      <c r="H284" s="346">
        <v>2</v>
      </c>
      <c r="I284" s="347"/>
      <c r="J284" s="3">
        <v>138</v>
      </c>
      <c r="K284" s="3">
        <f t="shared" si="12"/>
        <v>0.27600000000000002</v>
      </c>
    </row>
    <row r="285" spans="1:11">
      <c r="A285" s="53"/>
      <c r="B285" s="53"/>
      <c r="E285" s="91" t="s">
        <v>105</v>
      </c>
      <c r="F285" s="91">
        <v>0.3</v>
      </c>
      <c r="G285" s="92"/>
      <c r="H285" s="346">
        <v>0.3</v>
      </c>
      <c r="I285" s="347"/>
      <c r="J285" s="3">
        <v>497.15</v>
      </c>
      <c r="K285" s="3">
        <f t="shared" si="12"/>
        <v>0.14914499999999997</v>
      </c>
    </row>
    <row r="286" spans="1:11">
      <c r="A286" s="53"/>
      <c r="B286" s="53"/>
      <c r="E286" s="91" t="s">
        <v>125</v>
      </c>
      <c r="F286" s="91">
        <v>0.2</v>
      </c>
      <c r="G286" s="92"/>
      <c r="H286" s="346">
        <v>0.2</v>
      </c>
      <c r="I286" s="347"/>
      <c r="J286" s="3">
        <v>72.27</v>
      </c>
      <c r="K286" s="3">
        <f t="shared" si="12"/>
        <v>1.4454E-2</v>
      </c>
    </row>
    <row r="287" spans="1:11">
      <c r="A287" s="53"/>
      <c r="B287" s="53"/>
      <c r="E287" s="91" t="s">
        <v>124</v>
      </c>
      <c r="F287" s="91">
        <v>0.12</v>
      </c>
      <c r="G287" s="92"/>
      <c r="H287" s="346">
        <v>0.12</v>
      </c>
      <c r="I287" s="347"/>
      <c r="J287" s="3">
        <v>17</v>
      </c>
      <c r="K287" s="3">
        <f t="shared" si="12"/>
        <v>2.0400000000000001E-3</v>
      </c>
    </row>
    <row r="288" spans="1:11">
      <c r="A288" s="53"/>
      <c r="B288" s="53"/>
      <c r="E288" s="91" t="s">
        <v>104</v>
      </c>
      <c r="F288" s="91">
        <v>20</v>
      </c>
      <c r="G288" s="92"/>
      <c r="H288" s="346">
        <v>20</v>
      </c>
      <c r="I288" s="347"/>
    </row>
    <row r="289" spans="1:11">
      <c r="A289" s="53"/>
      <c r="B289" s="53"/>
      <c r="E289" s="91" t="s">
        <v>186</v>
      </c>
      <c r="F289" s="346" t="s">
        <v>109</v>
      </c>
      <c r="G289" s="347"/>
      <c r="H289" s="346">
        <v>20</v>
      </c>
      <c r="I289" s="347"/>
    </row>
    <row r="290" spans="1:11">
      <c r="A290" s="53"/>
      <c r="B290" s="53"/>
      <c r="E290" s="97" t="s">
        <v>127</v>
      </c>
      <c r="F290" s="342">
        <v>100</v>
      </c>
      <c r="G290" s="343"/>
      <c r="H290" s="343"/>
      <c r="I290" s="343"/>
    </row>
    <row r="292" spans="1:11">
      <c r="A292" s="53"/>
      <c r="B292" s="53"/>
      <c r="C292" s="51" t="s">
        <v>148</v>
      </c>
      <c r="D292" s="53">
        <v>150</v>
      </c>
      <c r="F292" s="385" t="s">
        <v>100</v>
      </c>
      <c r="G292" s="386"/>
      <c r="H292" s="385" t="s">
        <v>101</v>
      </c>
      <c r="I292" s="386"/>
      <c r="K292" s="164">
        <f>SUM(K293:K295)</f>
        <v>4.8765499999999999</v>
      </c>
    </row>
    <row r="293" spans="1:11">
      <c r="A293" s="53"/>
      <c r="B293" s="53"/>
      <c r="E293" s="61" t="s">
        <v>13</v>
      </c>
      <c r="F293" s="62">
        <v>52</v>
      </c>
      <c r="G293" s="63"/>
      <c r="H293" s="387">
        <v>52</v>
      </c>
      <c r="I293" s="388"/>
      <c r="J293" s="3">
        <v>65</v>
      </c>
      <c r="K293" s="3">
        <f>F293*J293/1000</f>
        <v>3.38</v>
      </c>
    </row>
    <row r="294" spans="1:11">
      <c r="A294" s="53"/>
      <c r="B294" s="53"/>
      <c r="E294" s="61" t="s">
        <v>106</v>
      </c>
      <c r="F294" s="65">
        <v>0.3</v>
      </c>
      <c r="G294" s="66"/>
      <c r="H294" s="330">
        <v>0.3</v>
      </c>
      <c r="I294" s="331"/>
      <c r="J294" s="3">
        <v>17</v>
      </c>
      <c r="K294" s="3">
        <f>F294*J294/1000</f>
        <v>5.0999999999999995E-3</v>
      </c>
    </row>
    <row r="295" spans="1:11">
      <c r="A295" s="53"/>
      <c r="B295" s="53"/>
      <c r="E295" s="61" t="s">
        <v>105</v>
      </c>
      <c r="F295" s="67">
        <v>3</v>
      </c>
      <c r="G295" s="68"/>
      <c r="H295" s="389">
        <v>3</v>
      </c>
      <c r="I295" s="390"/>
      <c r="J295" s="3">
        <v>497.15</v>
      </c>
      <c r="K295" s="3">
        <f>F295*J295/1000</f>
        <v>1.4914499999999997</v>
      </c>
    </row>
    <row r="296" spans="1:11">
      <c r="A296" s="53"/>
      <c r="B296" s="53"/>
      <c r="E296" s="70" t="s">
        <v>108</v>
      </c>
      <c r="F296" s="117" t="s">
        <v>109</v>
      </c>
      <c r="G296" s="118"/>
      <c r="H296" s="391">
        <v>150</v>
      </c>
      <c r="I296" s="392"/>
    </row>
    <row r="298" spans="1:11">
      <c r="A298" s="53"/>
      <c r="B298" s="53"/>
      <c r="C298" s="51" t="s">
        <v>94</v>
      </c>
      <c r="D298" s="53">
        <v>100</v>
      </c>
      <c r="J298" s="3">
        <v>65</v>
      </c>
      <c r="K298" s="165">
        <f>J298*D298/1000</f>
        <v>6.5</v>
      </c>
    </row>
    <row r="300" spans="1:11">
      <c r="A300" s="53"/>
      <c r="B300" s="53"/>
      <c r="C300" s="51" t="s">
        <v>130</v>
      </c>
      <c r="D300" s="53">
        <v>200</v>
      </c>
      <c r="F300" s="385" t="s">
        <v>100</v>
      </c>
      <c r="G300" s="386"/>
      <c r="H300" s="385" t="s">
        <v>101</v>
      </c>
      <c r="I300" s="386"/>
      <c r="K300" s="164">
        <f>SUM(K301:K304)</f>
        <v>8.514050000000001</v>
      </c>
    </row>
    <row r="301" spans="1:11">
      <c r="A301" s="53"/>
      <c r="B301" s="53"/>
      <c r="E301" s="61" t="s">
        <v>131</v>
      </c>
      <c r="F301" s="62">
        <v>4</v>
      </c>
      <c r="G301" s="63"/>
      <c r="H301" s="387">
        <v>4</v>
      </c>
      <c r="I301" s="388"/>
      <c r="J301" s="3">
        <v>420</v>
      </c>
      <c r="K301" s="3">
        <f>J301*F301/1000</f>
        <v>1.68</v>
      </c>
    </row>
    <row r="302" spans="1:11">
      <c r="A302" s="53"/>
      <c r="B302" s="53"/>
      <c r="E302" s="64" t="s">
        <v>107</v>
      </c>
      <c r="F302" s="65">
        <v>15</v>
      </c>
      <c r="G302" s="66"/>
      <c r="H302" s="330">
        <v>15</v>
      </c>
      <c r="I302" s="331"/>
      <c r="J302" s="3">
        <v>72.27</v>
      </c>
      <c r="K302" s="3">
        <f>J302*F302/1000</f>
        <v>1.08405</v>
      </c>
    </row>
    <row r="303" spans="1:11">
      <c r="A303" s="53"/>
      <c r="B303" s="53"/>
      <c r="E303" s="64" t="s">
        <v>65</v>
      </c>
      <c r="F303" s="65">
        <v>100</v>
      </c>
      <c r="G303" s="66"/>
      <c r="H303" s="330">
        <v>100</v>
      </c>
      <c r="I303" s="331"/>
      <c r="J303" s="3">
        <v>57.5</v>
      </c>
      <c r="K303" s="3">
        <f>J303*F303/1000</f>
        <v>5.75</v>
      </c>
    </row>
    <row r="304" spans="1:11">
      <c r="A304" s="53"/>
      <c r="B304" s="53"/>
      <c r="E304" s="64" t="s">
        <v>104</v>
      </c>
      <c r="F304" s="67">
        <v>81</v>
      </c>
      <c r="G304" s="68"/>
      <c r="H304" s="330">
        <v>81</v>
      </c>
      <c r="I304" s="331"/>
      <c r="J304" s="3">
        <v>0</v>
      </c>
      <c r="K304" s="3">
        <f>J304*F304/1000</f>
        <v>0</v>
      </c>
    </row>
    <row r="305" spans="1:24">
      <c r="A305" s="53"/>
      <c r="B305" s="53"/>
      <c r="E305" s="70" t="s">
        <v>108</v>
      </c>
      <c r="F305" s="336" t="s">
        <v>109</v>
      </c>
      <c r="G305" s="336"/>
      <c r="H305" s="332">
        <v>200</v>
      </c>
      <c r="I305" s="332"/>
    </row>
    <row r="307" spans="1:24">
      <c r="A307" s="53"/>
      <c r="B307" s="53"/>
      <c r="C307" s="51" t="s">
        <v>112</v>
      </c>
      <c r="D307" s="53">
        <v>40</v>
      </c>
      <c r="J307" s="3">
        <v>50.09</v>
      </c>
      <c r="K307" s="164">
        <f>D307*J307/1000</f>
        <v>2.0036</v>
      </c>
    </row>
    <row r="308" spans="1:24" ht="16.5" thickBot="1">
      <c r="A308" s="81"/>
      <c r="B308" s="81"/>
      <c r="C308" s="81"/>
      <c r="D308" s="82"/>
      <c r="E308" s="82"/>
      <c r="F308" s="82"/>
      <c r="G308" s="82"/>
      <c r="H308" s="82"/>
      <c r="I308" s="82"/>
      <c r="J308" s="83"/>
      <c r="K308" s="83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</row>
    <row r="309" spans="1:24">
      <c r="A309" s="166">
        <v>10</v>
      </c>
      <c r="B309" s="51">
        <f>K313+K315+K324+K326+K331+K309</f>
        <v>54.20075099999999</v>
      </c>
      <c r="C309" s="215" t="s">
        <v>336</v>
      </c>
      <c r="D309" s="216"/>
      <c r="E309" s="215" t="s">
        <v>335</v>
      </c>
      <c r="F309" s="218">
        <v>40</v>
      </c>
      <c r="G309" s="218"/>
      <c r="H309" s="216"/>
      <c r="I309" s="216"/>
      <c r="J309" s="219">
        <v>140</v>
      </c>
      <c r="K309" s="84">
        <f>F309*J309/1000</f>
        <v>5.6</v>
      </c>
    </row>
    <row r="310" spans="1:24">
      <c r="B310" s="51">
        <f>D313+D315+D324+D326+D331+D309</f>
        <v>460</v>
      </c>
      <c r="C310" s="167"/>
      <c r="D310" s="168"/>
      <c r="E310" s="214"/>
      <c r="F310" s="384"/>
      <c r="G310" s="384"/>
      <c r="H310" s="168"/>
      <c r="I310" s="168"/>
      <c r="J310" s="89"/>
      <c r="K310" s="89"/>
    </row>
    <row r="311" spans="1:24">
      <c r="C311" s="167"/>
      <c r="D311" s="168"/>
      <c r="E311" s="168"/>
      <c r="F311" s="170"/>
      <c r="G311" s="170"/>
      <c r="H311" s="170"/>
      <c r="I311" s="170"/>
      <c r="J311" s="89"/>
      <c r="K311" s="89"/>
    </row>
    <row r="313" spans="1:24">
      <c r="C313" s="51" t="s">
        <v>169</v>
      </c>
      <c r="D313" s="53">
        <v>20</v>
      </c>
      <c r="E313" s="61" t="s">
        <v>170</v>
      </c>
      <c r="F313" s="133">
        <v>21</v>
      </c>
      <c r="G313" s="134"/>
      <c r="H313" s="329">
        <v>20</v>
      </c>
      <c r="I313" s="329"/>
      <c r="J313" s="3">
        <v>498</v>
      </c>
      <c r="K313" s="135">
        <f>F313*J313/1000</f>
        <v>10.458</v>
      </c>
    </row>
    <row r="315" spans="1:24">
      <c r="C315" s="51" t="s">
        <v>153</v>
      </c>
      <c r="D315" s="53">
        <v>200</v>
      </c>
      <c r="F315" s="333" t="s">
        <v>100</v>
      </c>
      <c r="G315" s="333"/>
      <c r="H315" s="333" t="s">
        <v>101</v>
      </c>
      <c r="I315" s="333"/>
      <c r="K315" s="122">
        <f>SUM(K316:K321)</f>
        <v>34.286700999999994</v>
      </c>
    </row>
    <row r="316" spans="1:24">
      <c r="E316" s="61" t="s">
        <v>154</v>
      </c>
      <c r="F316" s="62">
        <v>137.94</v>
      </c>
      <c r="G316" s="63"/>
      <c r="H316" s="329">
        <f t="shared" ref="H316:H320" si="13">F316</f>
        <v>137.94</v>
      </c>
      <c r="I316" s="329"/>
      <c r="J316" s="3">
        <v>140</v>
      </c>
      <c r="K316" s="3">
        <f t="shared" ref="K316:K321" si="14">F316*J316/1000</f>
        <v>19.311599999999999</v>
      </c>
    </row>
    <row r="317" spans="1:24">
      <c r="E317" s="64" t="s">
        <v>103</v>
      </c>
      <c r="F317" s="65">
        <v>51.72</v>
      </c>
      <c r="G317" s="66"/>
      <c r="H317" s="329">
        <f t="shared" si="13"/>
        <v>51.72</v>
      </c>
      <c r="I317" s="329"/>
      <c r="J317" s="3">
        <v>57.5</v>
      </c>
      <c r="K317" s="3">
        <f t="shared" si="14"/>
        <v>2.9739</v>
      </c>
    </row>
    <row r="318" spans="1:24">
      <c r="E318" s="64" t="s">
        <v>105</v>
      </c>
      <c r="F318" s="65">
        <v>6.9</v>
      </c>
      <c r="G318" s="66"/>
      <c r="H318" s="329">
        <f t="shared" si="13"/>
        <v>6.9</v>
      </c>
      <c r="I318" s="329"/>
      <c r="J318" s="3">
        <v>497.15</v>
      </c>
      <c r="K318" s="3">
        <f t="shared" si="14"/>
        <v>3.4303349999999999</v>
      </c>
    </row>
    <row r="319" spans="1:24">
      <c r="E319" s="64" t="s">
        <v>116</v>
      </c>
      <c r="F319" s="65">
        <v>51.72</v>
      </c>
      <c r="G319" s="66"/>
      <c r="H319" s="329">
        <f t="shared" si="13"/>
        <v>51.72</v>
      </c>
      <c r="I319" s="329"/>
      <c r="K319" s="3">
        <f t="shared" si="14"/>
        <v>0</v>
      </c>
    </row>
    <row r="320" spans="1:24">
      <c r="E320" s="64" t="s">
        <v>105</v>
      </c>
      <c r="F320" s="125">
        <v>17.239999999999998</v>
      </c>
      <c r="G320" s="126"/>
      <c r="H320" s="329">
        <f t="shared" si="13"/>
        <v>17.239999999999998</v>
      </c>
      <c r="I320" s="329"/>
      <c r="J320" s="3">
        <v>497.15</v>
      </c>
      <c r="K320" s="3">
        <f t="shared" si="14"/>
        <v>8.5708659999999988</v>
      </c>
    </row>
    <row r="321" spans="1:26">
      <c r="E321" s="61"/>
      <c r="F321" s="329"/>
      <c r="G321" s="329"/>
      <c r="H321" s="329"/>
      <c r="I321" s="329"/>
      <c r="K321" s="3">
        <f t="shared" si="14"/>
        <v>0</v>
      </c>
    </row>
    <row r="322" spans="1:26">
      <c r="E322" s="70" t="s">
        <v>108</v>
      </c>
      <c r="F322" s="336" t="s">
        <v>109</v>
      </c>
      <c r="G322" s="336"/>
      <c r="H322" s="332">
        <v>200</v>
      </c>
      <c r="I322" s="332"/>
    </row>
    <row r="324" spans="1:26">
      <c r="A324" s="53"/>
      <c r="B324" s="53"/>
      <c r="E324" s="61"/>
      <c r="F324" s="329"/>
      <c r="G324" s="329"/>
      <c r="H324" s="329"/>
      <c r="I324" s="329"/>
      <c r="K324" s="135"/>
    </row>
    <row r="326" spans="1:26">
      <c r="A326" s="53"/>
      <c r="B326" s="53"/>
      <c r="C326" s="51" t="s">
        <v>141</v>
      </c>
      <c r="D326" s="53">
        <v>200</v>
      </c>
      <c r="F326" s="333" t="s">
        <v>100</v>
      </c>
      <c r="G326" s="333"/>
      <c r="H326" s="333" t="s">
        <v>101</v>
      </c>
      <c r="I326" s="333"/>
      <c r="K326" s="122">
        <f>K327+K328</f>
        <v>1.4740500000000001</v>
      </c>
    </row>
    <row r="327" spans="1:26">
      <c r="A327" s="53"/>
      <c r="B327" s="53"/>
      <c r="E327" s="61" t="s">
        <v>8</v>
      </c>
      <c r="F327" s="62">
        <v>0.6</v>
      </c>
      <c r="G327" s="63"/>
      <c r="H327" s="329">
        <v>0.6</v>
      </c>
      <c r="I327" s="329"/>
      <c r="J327" s="3">
        <v>650</v>
      </c>
      <c r="K327" s="3">
        <f>J327*F327/1000</f>
        <v>0.39</v>
      </c>
    </row>
    <row r="328" spans="1:26">
      <c r="A328" s="53"/>
      <c r="B328" s="53"/>
      <c r="E328" s="64" t="s">
        <v>107</v>
      </c>
      <c r="F328" s="67">
        <v>15</v>
      </c>
      <c r="G328" s="68"/>
      <c r="H328" s="330">
        <v>15</v>
      </c>
      <c r="I328" s="331"/>
      <c r="J328" s="3">
        <v>72.27</v>
      </c>
      <c r="K328" s="3">
        <f>J328*F328/1000</f>
        <v>1.08405</v>
      </c>
    </row>
    <row r="329" spans="1:26">
      <c r="A329" s="53"/>
      <c r="B329" s="53"/>
      <c r="E329" s="70" t="s">
        <v>108</v>
      </c>
      <c r="F329" s="117" t="s">
        <v>109</v>
      </c>
      <c r="G329" s="118"/>
      <c r="H329" s="332">
        <v>200</v>
      </c>
      <c r="I329" s="332"/>
    </row>
    <row r="331" spans="1:26" ht="16.5" thickBot="1">
      <c r="A331" s="82"/>
      <c r="B331" s="82"/>
      <c r="C331" s="81" t="s">
        <v>142</v>
      </c>
      <c r="D331" s="82">
        <v>40</v>
      </c>
      <c r="E331" s="82"/>
      <c r="F331" s="82"/>
      <c r="G331" s="82"/>
      <c r="H331" s="82"/>
      <c r="I331" s="82"/>
      <c r="J331" s="83">
        <v>59.55</v>
      </c>
      <c r="K331" s="171">
        <f>D331*J331/1000</f>
        <v>2.3820000000000001</v>
      </c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</row>
  </sheetData>
  <mergeCells count="295">
    <mergeCell ref="E5:E7"/>
    <mergeCell ref="E17:E19"/>
    <mergeCell ref="F18:I18"/>
    <mergeCell ref="F19:G19"/>
    <mergeCell ref="H19:I19"/>
    <mergeCell ref="H20:I20"/>
    <mergeCell ref="F34:G34"/>
    <mergeCell ref="H34:I34"/>
    <mergeCell ref="H35:I35"/>
    <mergeCell ref="H36:I36"/>
    <mergeCell ref="H37:I37"/>
    <mergeCell ref="H38:I38"/>
    <mergeCell ref="H21:I21"/>
    <mergeCell ref="H22:I22"/>
    <mergeCell ref="H23:I23"/>
    <mergeCell ref="F24:G24"/>
    <mergeCell ref="H24:I24"/>
    <mergeCell ref="F33:I33"/>
    <mergeCell ref="H45:I45"/>
    <mergeCell ref="H46:I46"/>
    <mergeCell ref="H47:I47"/>
    <mergeCell ref="H48:I48"/>
    <mergeCell ref="H49:I49"/>
    <mergeCell ref="H50:I50"/>
    <mergeCell ref="H39:I39"/>
    <mergeCell ref="H40:I40"/>
    <mergeCell ref="H41:I41"/>
    <mergeCell ref="H42:I42"/>
    <mergeCell ref="H43:I43"/>
    <mergeCell ref="H44:I44"/>
    <mergeCell ref="H59:I59"/>
    <mergeCell ref="H60:I60"/>
    <mergeCell ref="H61:I61"/>
    <mergeCell ref="F62:G62"/>
    <mergeCell ref="H62:I62"/>
    <mergeCell ref="F64:G64"/>
    <mergeCell ref="H64:I64"/>
    <mergeCell ref="H51:I51"/>
    <mergeCell ref="H52:I52"/>
    <mergeCell ref="H53:I53"/>
    <mergeCell ref="H54:I54"/>
    <mergeCell ref="F55:I55"/>
    <mergeCell ref="F58:G58"/>
    <mergeCell ref="H58:I58"/>
    <mergeCell ref="F76:G76"/>
    <mergeCell ref="H76:I76"/>
    <mergeCell ref="H77:I77"/>
    <mergeCell ref="F78:G78"/>
    <mergeCell ref="H78:I78"/>
    <mergeCell ref="H80:I80"/>
    <mergeCell ref="H65:I65"/>
    <mergeCell ref="H66:I66"/>
    <mergeCell ref="H67:I67"/>
    <mergeCell ref="H68:I68"/>
    <mergeCell ref="F69:G69"/>
    <mergeCell ref="H69:I69"/>
    <mergeCell ref="H87:I87"/>
    <mergeCell ref="H88:I88"/>
    <mergeCell ref="H89:I89"/>
    <mergeCell ref="H90:I90"/>
    <mergeCell ref="F91:G91"/>
    <mergeCell ref="H91:I91"/>
    <mergeCell ref="H81:I81"/>
    <mergeCell ref="H82:I82"/>
    <mergeCell ref="H83:I83"/>
    <mergeCell ref="H84:I84"/>
    <mergeCell ref="H85:I85"/>
    <mergeCell ref="H86:I86"/>
    <mergeCell ref="F97:G97"/>
    <mergeCell ref="H97:I97"/>
    <mergeCell ref="F104:G104"/>
    <mergeCell ref="H104:I104"/>
    <mergeCell ref="F105:G105"/>
    <mergeCell ref="F106:G106"/>
    <mergeCell ref="H106:I106"/>
    <mergeCell ref="F92:G92"/>
    <mergeCell ref="H92:I92"/>
    <mergeCell ref="F94:G94"/>
    <mergeCell ref="H94:I94"/>
    <mergeCell ref="H95:I95"/>
    <mergeCell ref="H96:I96"/>
    <mergeCell ref="F110:G110"/>
    <mergeCell ref="H110:I110"/>
    <mergeCell ref="F111:G111"/>
    <mergeCell ref="H111:I111"/>
    <mergeCell ref="F112:I112"/>
    <mergeCell ref="H113:I113"/>
    <mergeCell ref="F107:G107"/>
    <mergeCell ref="H107:I107"/>
    <mergeCell ref="F108:G108"/>
    <mergeCell ref="H108:I108"/>
    <mergeCell ref="F109:G109"/>
    <mergeCell ref="H109:I109"/>
    <mergeCell ref="F121:G121"/>
    <mergeCell ref="H121:I121"/>
    <mergeCell ref="H122:I122"/>
    <mergeCell ref="H123:I123"/>
    <mergeCell ref="H124:I124"/>
    <mergeCell ref="F125:G125"/>
    <mergeCell ref="H125:I125"/>
    <mergeCell ref="F115:G115"/>
    <mergeCell ref="H115:I115"/>
    <mergeCell ref="H116:I116"/>
    <mergeCell ref="H117:I117"/>
    <mergeCell ref="H118:I118"/>
    <mergeCell ref="H119:I119"/>
    <mergeCell ref="F133:G133"/>
    <mergeCell ref="F134:G134"/>
    <mergeCell ref="H134:I134"/>
    <mergeCell ref="F135:G135"/>
    <mergeCell ref="H135:I135"/>
    <mergeCell ref="F137:G137"/>
    <mergeCell ref="H137:I137"/>
    <mergeCell ref="F129:G129"/>
    <mergeCell ref="H129:I129"/>
    <mergeCell ref="F131:G131"/>
    <mergeCell ref="H131:I131"/>
    <mergeCell ref="F132:G132"/>
    <mergeCell ref="H132:I132"/>
    <mergeCell ref="F144:G144"/>
    <mergeCell ref="H144:I144"/>
    <mergeCell ref="F145:G145"/>
    <mergeCell ref="H145:I145"/>
    <mergeCell ref="H146:I146"/>
    <mergeCell ref="F150:G150"/>
    <mergeCell ref="H150:I150"/>
    <mergeCell ref="H138:I138"/>
    <mergeCell ref="H139:I139"/>
    <mergeCell ref="H140:I140"/>
    <mergeCell ref="H141:I141"/>
    <mergeCell ref="H142:I142"/>
    <mergeCell ref="F143:G143"/>
    <mergeCell ref="H143:I143"/>
    <mergeCell ref="F159:G159"/>
    <mergeCell ref="H159:I159"/>
    <mergeCell ref="F160:G160"/>
    <mergeCell ref="H160:I160"/>
    <mergeCell ref="F161:G161"/>
    <mergeCell ref="H161:I161"/>
    <mergeCell ref="H151:I151"/>
    <mergeCell ref="H152:I152"/>
    <mergeCell ref="F153:G153"/>
    <mergeCell ref="H153:I153"/>
    <mergeCell ref="F157:G157"/>
    <mergeCell ref="H157:I157"/>
    <mergeCell ref="F165:G165"/>
    <mergeCell ref="H165:I165"/>
    <mergeCell ref="F166:G166"/>
    <mergeCell ref="H166:I166"/>
    <mergeCell ref="F167:G167"/>
    <mergeCell ref="H167:I167"/>
    <mergeCell ref="F162:G162"/>
    <mergeCell ref="H162:I162"/>
    <mergeCell ref="F163:G163"/>
    <mergeCell ref="H163:I163"/>
    <mergeCell ref="F164:G164"/>
    <mergeCell ref="H164:I164"/>
    <mergeCell ref="F172:G172"/>
    <mergeCell ref="H172:I172"/>
    <mergeCell ref="F173:G173"/>
    <mergeCell ref="H173:I173"/>
    <mergeCell ref="F174:G174"/>
    <mergeCell ref="H174:I174"/>
    <mergeCell ref="F168:G168"/>
    <mergeCell ref="H168:I168"/>
    <mergeCell ref="F169:G169"/>
    <mergeCell ref="H169:I169"/>
    <mergeCell ref="F171:G171"/>
    <mergeCell ref="H171:I171"/>
    <mergeCell ref="H183:I183"/>
    <mergeCell ref="H185:I185"/>
    <mergeCell ref="H187:I187"/>
    <mergeCell ref="H188:I188"/>
    <mergeCell ref="H189:I189"/>
    <mergeCell ref="H190:I190"/>
    <mergeCell ref="F175:G175"/>
    <mergeCell ref="H175:I175"/>
    <mergeCell ref="F176:G176"/>
    <mergeCell ref="H176:I176"/>
    <mergeCell ref="F178:G178"/>
    <mergeCell ref="H178:I178"/>
    <mergeCell ref="F204:G204"/>
    <mergeCell ref="F206:G206"/>
    <mergeCell ref="H206:I206"/>
    <mergeCell ref="H191:I191"/>
    <mergeCell ref="H192:I192"/>
    <mergeCell ref="H193:I193"/>
    <mergeCell ref="H195:I195"/>
    <mergeCell ref="H196:I196"/>
    <mergeCell ref="H197:I197"/>
    <mergeCell ref="H207:I207"/>
    <mergeCell ref="H208:I208"/>
    <mergeCell ref="H209:I209"/>
    <mergeCell ref="H210:I210"/>
    <mergeCell ref="H211:I211"/>
    <mergeCell ref="H212:I212"/>
    <mergeCell ref="H198:I198"/>
    <mergeCell ref="H199:I199"/>
    <mergeCell ref="H200:I200"/>
    <mergeCell ref="F242:G242"/>
    <mergeCell ref="H242:I242"/>
    <mergeCell ref="H221:I221"/>
    <mergeCell ref="H222:I222"/>
    <mergeCell ref="H223:I223"/>
    <mergeCell ref="H224:I224"/>
    <mergeCell ref="H225:I225"/>
    <mergeCell ref="H226:I226"/>
    <mergeCell ref="H213:I213"/>
    <mergeCell ref="H214:I214"/>
    <mergeCell ref="H215:I215"/>
    <mergeCell ref="F216:I216"/>
    <mergeCell ref="F220:G220"/>
    <mergeCell ref="H220:I220"/>
    <mergeCell ref="H243:I243"/>
    <mergeCell ref="H244:I244"/>
    <mergeCell ref="H245:I245"/>
    <mergeCell ref="H246:I246"/>
    <mergeCell ref="H247:I247"/>
    <mergeCell ref="H248:I248"/>
    <mergeCell ref="H228:I228"/>
    <mergeCell ref="H229:I229"/>
    <mergeCell ref="H230:I230"/>
    <mergeCell ref="H231:I231"/>
    <mergeCell ref="F267:G267"/>
    <mergeCell ref="H267:I267"/>
    <mergeCell ref="H256:I256"/>
    <mergeCell ref="H257:I257"/>
    <mergeCell ref="F258:G258"/>
    <mergeCell ref="H258:I258"/>
    <mergeCell ref="F262:G262"/>
    <mergeCell ref="H262:I262"/>
    <mergeCell ref="H249:I249"/>
    <mergeCell ref="H250:I250"/>
    <mergeCell ref="H251:I251"/>
    <mergeCell ref="H252:I252"/>
    <mergeCell ref="H254:I254"/>
    <mergeCell ref="H255:I255"/>
    <mergeCell ref="H274:I274"/>
    <mergeCell ref="H275:I275"/>
    <mergeCell ref="H276:I276"/>
    <mergeCell ref="H277:I277"/>
    <mergeCell ref="H278:I278"/>
    <mergeCell ref="H279:I279"/>
    <mergeCell ref="H268:I268"/>
    <mergeCell ref="H269:I269"/>
    <mergeCell ref="H270:I270"/>
    <mergeCell ref="H271:I271"/>
    <mergeCell ref="H272:I272"/>
    <mergeCell ref="H273:I273"/>
    <mergeCell ref="H286:I286"/>
    <mergeCell ref="H287:I287"/>
    <mergeCell ref="H288:I288"/>
    <mergeCell ref="F289:G289"/>
    <mergeCell ref="H289:I289"/>
    <mergeCell ref="F290:I290"/>
    <mergeCell ref="H280:I280"/>
    <mergeCell ref="H281:I281"/>
    <mergeCell ref="H282:I282"/>
    <mergeCell ref="H283:I283"/>
    <mergeCell ref="H284:I284"/>
    <mergeCell ref="H285:I285"/>
    <mergeCell ref="F300:G300"/>
    <mergeCell ref="H300:I300"/>
    <mergeCell ref="H301:I301"/>
    <mergeCell ref="H302:I302"/>
    <mergeCell ref="H303:I303"/>
    <mergeCell ref="H304:I304"/>
    <mergeCell ref="F292:G292"/>
    <mergeCell ref="H292:I292"/>
    <mergeCell ref="H293:I293"/>
    <mergeCell ref="H294:I294"/>
    <mergeCell ref="H295:I295"/>
    <mergeCell ref="H296:I296"/>
    <mergeCell ref="F315:G315"/>
    <mergeCell ref="H315:I315"/>
    <mergeCell ref="H316:I316"/>
    <mergeCell ref="H317:I317"/>
    <mergeCell ref="H318:I318"/>
    <mergeCell ref="H319:I319"/>
    <mergeCell ref="F305:G305"/>
    <mergeCell ref="H305:I305"/>
    <mergeCell ref="F310:G310"/>
    <mergeCell ref="H313:I313"/>
    <mergeCell ref="F326:G326"/>
    <mergeCell ref="H326:I326"/>
    <mergeCell ref="H327:I327"/>
    <mergeCell ref="H328:I328"/>
    <mergeCell ref="H329:I329"/>
    <mergeCell ref="H320:I320"/>
    <mergeCell ref="F321:G321"/>
    <mergeCell ref="H321:I321"/>
    <mergeCell ref="F322:G322"/>
    <mergeCell ref="H322:I322"/>
    <mergeCell ref="F324:G324"/>
    <mergeCell ref="H324:I3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63"/>
  <sheetViews>
    <sheetView tabSelected="1" topLeftCell="B1" zoomScale="70" zoomScaleNormal="70" workbookViewId="0">
      <selection activeCell="B2" sqref="B2:T2"/>
    </sheetView>
  </sheetViews>
  <sheetFormatPr defaultRowHeight="15"/>
  <cols>
    <col min="1" max="1" width="9" hidden="1" customWidth="1"/>
    <col min="2" max="2" width="9" style="191" customWidth="1"/>
    <col min="3" max="3" width="14" style="191" customWidth="1"/>
    <col min="4" max="4" width="17" style="191" customWidth="1"/>
    <col min="5" max="5" width="7" style="191" customWidth="1"/>
    <col min="6" max="6" width="8" style="191" customWidth="1"/>
    <col min="7" max="8" width="8.28515625" style="191" customWidth="1"/>
    <col min="9" max="9" width="7.85546875" style="191" customWidth="1"/>
    <col min="10" max="12" width="9.140625" style="191" customWidth="1"/>
    <col min="13" max="14" width="8.85546875" style="191" customWidth="1"/>
    <col min="15" max="16" width="7.7109375" style="191" customWidth="1"/>
    <col min="17" max="17" width="8.42578125" style="191" customWidth="1"/>
    <col min="18" max="18" width="9" style="191" customWidth="1"/>
    <col min="19" max="19" width="9.28515625" style="191" customWidth="1"/>
    <col min="20" max="20" width="8.5703125" style="191" customWidth="1"/>
  </cols>
  <sheetData>
    <row r="1" spans="2:20">
      <c r="B1" s="172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400" t="s">
        <v>187</v>
      </c>
      <c r="N1" s="400"/>
      <c r="O1" s="400"/>
      <c r="P1" s="400"/>
      <c r="Q1" s="400"/>
      <c r="R1" s="400"/>
      <c r="S1" s="400"/>
      <c r="T1" s="400"/>
    </row>
    <row r="2" spans="2:20">
      <c r="B2" s="401" t="s">
        <v>188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</row>
    <row r="3" spans="2:20">
      <c r="B3" s="401" t="s">
        <v>189</v>
      </c>
      <c r="C3" s="401"/>
      <c r="D3" s="266"/>
      <c r="E3" s="266"/>
      <c r="F3" s="266"/>
      <c r="G3" s="400" t="s">
        <v>190</v>
      </c>
      <c r="H3" s="400"/>
      <c r="I3" s="400"/>
      <c r="J3" s="266"/>
      <c r="K3" s="266"/>
      <c r="L3" s="401" t="s">
        <v>191</v>
      </c>
      <c r="M3" s="401"/>
      <c r="N3" s="400" t="s">
        <v>192</v>
      </c>
      <c r="O3" s="400"/>
      <c r="P3" s="400"/>
      <c r="Q3" s="400"/>
      <c r="R3" s="266"/>
      <c r="S3" s="266"/>
      <c r="T3" s="266"/>
    </row>
    <row r="4" spans="2:20">
      <c r="B4" s="400" t="s">
        <v>193</v>
      </c>
      <c r="C4" s="400"/>
      <c r="D4" s="400"/>
      <c r="E4" s="401" t="s">
        <v>194</v>
      </c>
      <c r="F4" s="401"/>
      <c r="G4" s="266">
        <v>1</v>
      </c>
      <c r="H4" s="266"/>
      <c r="I4" s="266"/>
      <c r="J4" s="266"/>
      <c r="K4" s="266"/>
      <c r="L4" s="401" t="s">
        <v>195</v>
      </c>
      <c r="M4" s="401"/>
      <c r="N4" s="400" t="s">
        <v>196</v>
      </c>
      <c r="O4" s="400"/>
      <c r="P4" s="400"/>
      <c r="Q4" s="400"/>
      <c r="R4" s="400"/>
      <c r="S4" s="400"/>
      <c r="T4" s="400"/>
    </row>
    <row r="5" spans="2:20">
      <c r="B5" s="412" t="s">
        <v>197</v>
      </c>
      <c r="C5" s="412" t="s">
        <v>198</v>
      </c>
      <c r="D5" s="412"/>
      <c r="E5" s="412" t="s">
        <v>199</v>
      </c>
      <c r="F5" s="412" t="s">
        <v>200</v>
      </c>
      <c r="G5" s="412"/>
      <c r="H5" s="412"/>
      <c r="I5" s="265" t="s">
        <v>201</v>
      </c>
      <c r="J5" s="412" t="s">
        <v>202</v>
      </c>
      <c r="K5" s="412"/>
      <c r="L5" s="412"/>
      <c r="M5" s="412"/>
      <c r="N5" s="412"/>
      <c r="O5" s="412" t="s">
        <v>203</v>
      </c>
      <c r="P5" s="412"/>
      <c r="Q5" s="412"/>
      <c r="R5" s="412"/>
      <c r="S5" s="412"/>
      <c r="T5" s="412"/>
    </row>
    <row r="6" spans="2:20" ht="30" customHeight="1">
      <c r="B6" s="412"/>
      <c r="C6" s="412"/>
      <c r="D6" s="412"/>
      <c r="E6" s="412"/>
      <c r="F6" s="265" t="s">
        <v>204</v>
      </c>
      <c r="G6" s="265" t="s">
        <v>205</v>
      </c>
      <c r="H6" s="265" t="s">
        <v>206</v>
      </c>
      <c r="I6" s="265" t="s">
        <v>207</v>
      </c>
      <c r="J6" s="265" t="s">
        <v>208</v>
      </c>
      <c r="K6" s="265" t="s">
        <v>209</v>
      </c>
      <c r="L6" s="265" t="s">
        <v>210</v>
      </c>
      <c r="M6" s="265" t="s">
        <v>211</v>
      </c>
      <c r="N6" s="265" t="s">
        <v>212</v>
      </c>
      <c r="O6" s="265" t="s">
        <v>213</v>
      </c>
      <c r="P6" s="265" t="s">
        <v>214</v>
      </c>
      <c r="Q6" s="265" t="s">
        <v>215</v>
      </c>
      <c r="R6" s="265" t="s">
        <v>216</v>
      </c>
      <c r="S6" s="265" t="s">
        <v>217</v>
      </c>
      <c r="T6" s="265" t="s">
        <v>218</v>
      </c>
    </row>
    <row r="7" spans="2:20">
      <c r="B7" s="264">
        <v>1</v>
      </c>
      <c r="C7" s="407">
        <v>2</v>
      </c>
      <c r="D7" s="407"/>
      <c r="E7" s="264">
        <v>3</v>
      </c>
      <c r="F7" s="264">
        <v>4</v>
      </c>
      <c r="G7" s="264">
        <v>5</v>
      </c>
      <c r="H7" s="264">
        <v>6</v>
      </c>
      <c r="I7" s="264">
        <v>7</v>
      </c>
      <c r="J7" s="264">
        <v>8</v>
      </c>
      <c r="K7" s="264">
        <v>9</v>
      </c>
      <c r="L7" s="264">
        <v>10</v>
      </c>
      <c r="M7" s="264">
        <v>11</v>
      </c>
      <c r="N7" s="264">
        <v>12</v>
      </c>
      <c r="O7" s="264">
        <v>13</v>
      </c>
      <c r="P7" s="264">
        <v>14</v>
      </c>
      <c r="Q7" s="264">
        <v>15</v>
      </c>
      <c r="R7" s="264">
        <v>16</v>
      </c>
      <c r="S7" s="264">
        <v>17</v>
      </c>
      <c r="T7" s="264">
        <v>18</v>
      </c>
    </row>
    <row r="8" spans="2:20" s="173" customFormat="1">
      <c r="B8" s="405" t="s">
        <v>246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</row>
    <row r="9" spans="2:20" s="173" customFormat="1" ht="18.75" customHeight="1">
      <c r="B9" s="272" t="s">
        <v>340</v>
      </c>
      <c r="C9" s="408" t="s">
        <v>220</v>
      </c>
      <c r="D9" s="409"/>
      <c r="E9" s="310">
        <v>100</v>
      </c>
      <c r="F9" s="311">
        <v>0.4</v>
      </c>
      <c r="G9" s="311">
        <v>0.4</v>
      </c>
      <c r="H9" s="311">
        <v>9.8000000000000007</v>
      </c>
      <c r="I9" s="306">
        <v>42</v>
      </c>
      <c r="J9" s="311">
        <v>0.04</v>
      </c>
      <c r="K9" s="311">
        <v>0.02</v>
      </c>
      <c r="L9" s="311">
        <v>10</v>
      </c>
      <c r="M9" s="311">
        <v>0</v>
      </c>
      <c r="N9" s="311">
        <v>0.2</v>
      </c>
      <c r="O9" s="311">
        <v>16</v>
      </c>
      <c r="P9" s="311">
        <v>11</v>
      </c>
      <c r="Q9" s="311">
        <v>0</v>
      </c>
      <c r="R9" s="311">
        <v>0</v>
      </c>
      <c r="S9" s="311">
        <v>9</v>
      </c>
      <c r="T9" s="311">
        <v>2.2000000000000002</v>
      </c>
    </row>
    <row r="10" spans="2:20" s="173" customFormat="1" ht="28.5" customHeight="1">
      <c r="B10" s="268">
        <v>71</v>
      </c>
      <c r="C10" s="410" t="s">
        <v>221</v>
      </c>
      <c r="D10" s="411"/>
      <c r="E10" s="303">
        <v>20</v>
      </c>
      <c r="F10" s="303">
        <v>4.6399999999999997</v>
      </c>
      <c r="G10" s="303">
        <v>6.8</v>
      </c>
      <c r="H10" s="303">
        <v>0.02</v>
      </c>
      <c r="I10" s="303">
        <v>79.8</v>
      </c>
      <c r="J10" s="303">
        <v>0.01</v>
      </c>
      <c r="K10" s="303">
        <v>0.06</v>
      </c>
      <c r="L10" s="303">
        <v>0.14000000000000001</v>
      </c>
      <c r="M10" s="303">
        <v>4.5999999999999999E-2</v>
      </c>
      <c r="N10" s="303">
        <v>0.1</v>
      </c>
      <c r="O10" s="303">
        <v>176</v>
      </c>
      <c r="P10" s="303">
        <v>100</v>
      </c>
      <c r="Q10" s="303">
        <v>0.8</v>
      </c>
      <c r="R10" s="303">
        <v>0.04</v>
      </c>
      <c r="S10" s="303">
        <v>7</v>
      </c>
      <c r="T10" s="303">
        <v>0.26</v>
      </c>
    </row>
    <row r="11" spans="2:20" s="173" customFormat="1" ht="26.25" customHeight="1">
      <c r="B11" s="268" t="s">
        <v>248</v>
      </c>
      <c r="C11" s="410" t="s">
        <v>222</v>
      </c>
      <c r="D11" s="411"/>
      <c r="E11" s="303">
        <v>200</v>
      </c>
      <c r="F11" s="303">
        <v>7.23</v>
      </c>
      <c r="G11" s="303">
        <v>9.81</v>
      </c>
      <c r="H11" s="303">
        <v>28.8</v>
      </c>
      <c r="I11" s="303">
        <v>225.2</v>
      </c>
      <c r="J11" s="303">
        <v>0.22</v>
      </c>
      <c r="K11" s="303">
        <v>0.2</v>
      </c>
      <c r="L11" s="303">
        <v>1.3</v>
      </c>
      <c r="M11" s="303">
        <v>0.08</v>
      </c>
      <c r="N11" s="303">
        <v>0</v>
      </c>
      <c r="O11" s="303">
        <v>142.58000000000001</v>
      </c>
      <c r="P11" s="303">
        <v>222.38</v>
      </c>
      <c r="Q11" s="303">
        <v>0</v>
      </c>
      <c r="R11" s="303">
        <v>1E-3</v>
      </c>
      <c r="S11" s="303">
        <v>65.69</v>
      </c>
      <c r="T11" s="303">
        <v>1.53</v>
      </c>
    </row>
    <row r="12" spans="2:20" s="173" customFormat="1" ht="17.25" customHeight="1">
      <c r="B12" s="270">
        <v>304</v>
      </c>
      <c r="C12" s="410" t="s">
        <v>223</v>
      </c>
      <c r="D12" s="411"/>
      <c r="E12" s="310">
        <v>200</v>
      </c>
      <c r="F12" s="310">
        <v>3.5</v>
      </c>
      <c r="G12" s="310">
        <v>3.7</v>
      </c>
      <c r="H12" s="310">
        <v>25.5</v>
      </c>
      <c r="I12" s="310">
        <v>149.30000000000001</v>
      </c>
      <c r="J12" s="310">
        <v>0.06</v>
      </c>
      <c r="K12" s="310">
        <v>0.01</v>
      </c>
      <c r="L12" s="310">
        <v>1.6</v>
      </c>
      <c r="M12" s="310">
        <v>0.04</v>
      </c>
      <c r="N12" s="310">
        <v>0.4</v>
      </c>
      <c r="O12" s="310">
        <v>102.6</v>
      </c>
      <c r="P12" s="310">
        <v>178.4</v>
      </c>
      <c r="Q12" s="310">
        <v>1</v>
      </c>
      <c r="R12" s="310">
        <v>1.2999999999999999E-2</v>
      </c>
      <c r="S12" s="310">
        <v>24.8</v>
      </c>
      <c r="T12" s="310">
        <v>1</v>
      </c>
    </row>
    <row r="13" spans="2:20" s="173" customFormat="1" ht="15" customHeight="1">
      <c r="B13" s="270">
        <v>379</v>
      </c>
      <c r="C13" s="410" t="s">
        <v>161</v>
      </c>
      <c r="D13" s="411"/>
      <c r="E13" s="310">
        <v>40</v>
      </c>
      <c r="F13" s="310">
        <v>3.04</v>
      </c>
      <c r="G13" s="310">
        <v>0.32</v>
      </c>
      <c r="H13" s="310">
        <v>19.68</v>
      </c>
      <c r="I13" s="310">
        <v>88.8</v>
      </c>
      <c r="J13" s="310">
        <v>0.04</v>
      </c>
      <c r="K13" s="310">
        <v>0.01</v>
      </c>
      <c r="L13" s="310">
        <v>0.88</v>
      </c>
      <c r="M13" s="310">
        <v>0</v>
      </c>
      <c r="N13" s="310">
        <v>0.7</v>
      </c>
      <c r="O13" s="310">
        <v>8</v>
      </c>
      <c r="P13" s="310">
        <v>26</v>
      </c>
      <c r="Q13" s="310">
        <v>8.0000000000000002E-3</v>
      </c>
      <c r="R13" s="310">
        <v>3.0000000000000001E-3</v>
      </c>
      <c r="S13" s="310">
        <v>0</v>
      </c>
      <c r="T13" s="310">
        <v>0.44</v>
      </c>
    </row>
    <row r="14" spans="2:20" s="173" customFormat="1" ht="20.25" customHeight="1">
      <c r="B14" s="270" t="s">
        <v>224</v>
      </c>
      <c r="C14" s="406"/>
      <c r="D14" s="406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</row>
    <row r="15" spans="2:20" s="173" customFormat="1" ht="15" customHeight="1">
      <c r="B15" s="178" t="s">
        <v>251</v>
      </c>
      <c r="C15" s="179"/>
      <c r="D15" s="269"/>
      <c r="E15" s="310">
        <v>560</v>
      </c>
      <c r="F15" s="310">
        <v>18.809999999999999</v>
      </c>
      <c r="G15" s="310">
        <v>21.03</v>
      </c>
      <c r="H15" s="310">
        <v>83.800000000000011</v>
      </c>
      <c r="I15" s="310">
        <v>585.1</v>
      </c>
      <c r="J15" s="310">
        <v>0.37</v>
      </c>
      <c r="K15" s="310">
        <v>0.30000000000000004</v>
      </c>
      <c r="L15" s="310">
        <v>13.920000000000002</v>
      </c>
      <c r="M15" s="310">
        <v>0.16600000000000001</v>
      </c>
      <c r="N15" s="310">
        <v>1.4</v>
      </c>
      <c r="O15" s="310">
        <v>445.18000000000006</v>
      </c>
      <c r="P15" s="310">
        <v>537.78</v>
      </c>
      <c r="Q15" s="310">
        <v>1.8080000000000001</v>
      </c>
      <c r="R15" s="310">
        <v>5.7000000000000002E-2</v>
      </c>
      <c r="S15" s="310">
        <v>106.49</v>
      </c>
      <c r="T15" s="310">
        <v>5.4300000000000006</v>
      </c>
    </row>
    <row r="16" spans="2:20" s="173" customFormat="1">
      <c r="B16" s="405" t="s">
        <v>226</v>
      </c>
      <c r="C16" s="405"/>
      <c r="D16" s="405"/>
      <c r="E16" s="405"/>
      <c r="F16" s="174">
        <v>0.24428571428571427</v>
      </c>
      <c r="G16" s="174">
        <v>0.26620253164556962</v>
      </c>
      <c r="H16" s="174">
        <v>0.25014925373134334</v>
      </c>
      <c r="I16" s="174">
        <v>0.24897872340425534</v>
      </c>
      <c r="J16" s="174">
        <v>0.30833333333333335</v>
      </c>
      <c r="K16" s="174">
        <v>0.21428571428571433</v>
      </c>
      <c r="L16" s="174">
        <v>0.23200000000000004</v>
      </c>
      <c r="M16" s="174">
        <v>0.23714285714285718</v>
      </c>
      <c r="N16" s="174">
        <v>0.13999999999999999</v>
      </c>
      <c r="O16" s="174">
        <v>0.40470909090909096</v>
      </c>
      <c r="P16" s="174">
        <v>0.48889090909090904</v>
      </c>
      <c r="Q16" s="174">
        <v>0.18080000000000002</v>
      </c>
      <c r="R16" s="174">
        <v>0.56999999999999995</v>
      </c>
      <c r="S16" s="174">
        <v>0.42596000000000001</v>
      </c>
      <c r="T16" s="174">
        <v>0.45250000000000007</v>
      </c>
    </row>
    <row r="17" spans="2:20" s="173" customFormat="1">
      <c r="B17" s="405" t="s">
        <v>227</v>
      </c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</row>
    <row r="18" spans="2:20" s="173" customFormat="1" ht="16.5" customHeight="1">
      <c r="B18" s="270">
        <v>52</v>
      </c>
      <c r="C18" s="410" t="s">
        <v>229</v>
      </c>
      <c r="D18" s="411"/>
      <c r="E18" s="310">
        <v>60</v>
      </c>
      <c r="F18" s="310">
        <v>1.03</v>
      </c>
      <c r="G18" s="310">
        <v>3</v>
      </c>
      <c r="H18" s="310">
        <v>5.08</v>
      </c>
      <c r="I18" s="310">
        <v>51.42</v>
      </c>
      <c r="J18" s="310">
        <v>0.01</v>
      </c>
      <c r="K18" s="310">
        <v>0.02</v>
      </c>
      <c r="L18" s="310">
        <v>11.89</v>
      </c>
      <c r="M18" s="310">
        <v>0.01</v>
      </c>
      <c r="N18" s="310"/>
      <c r="O18" s="310">
        <v>31.34</v>
      </c>
      <c r="P18" s="310">
        <v>20.37</v>
      </c>
      <c r="Q18" s="310"/>
      <c r="R18" s="310">
        <v>0</v>
      </c>
      <c r="S18" s="310">
        <v>9.61</v>
      </c>
      <c r="T18" s="310">
        <v>0.4</v>
      </c>
    </row>
    <row r="19" spans="2:20" s="173" customFormat="1" ht="30" customHeight="1">
      <c r="B19" s="270">
        <v>101</v>
      </c>
      <c r="C19" s="410" t="s">
        <v>230</v>
      </c>
      <c r="D19" s="411"/>
      <c r="E19" s="310">
        <v>60</v>
      </c>
      <c r="F19" s="310">
        <v>0.9</v>
      </c>
      <c r="G19" s="310">
        <v>1.31</v>
      </c>
      <c r="H19" s="310">
        <v>5.6</v>
      </c>
      <c r="I19" s="310">
        <v>37.79</v>
      </c>
      <c r="J19" s="310">
        <v>0.06</v>
      </c>
      <c r="K19" s="310">
        <v>7.0000000000000007E-2</v>
      </c>
      <c r="L19" s="310">
        <v>15.5</v>
      </c>
      <c r="M19" s="310">
        <v>7.0999999999999994E-2</v>
      </c>
      <c r="N19" s="310">
        <v>0.3</v>
      </c>
      <c r="O19" s="310">
        <v>28.2</v>
      </c>
      <c r="P19" s="310">
        <v>18.899999999999999</v>
      </c>
      <c r="Q19" s="310">
        <v>0.2</v>
      </c>
      <c r="R19" s="310">
        <v>1E-3</v>
      </c>
      <c r="S19" s="310">
        <v>10.5</v>
      </c>
      <c r="T19" s="310">
        <v>0.6</v>
      </c>
    </row>
    <row r="20" spans="2:20" s="173" customFormat="1" ht="17.25" customHeight="1">
      <c r="B20" s="180" t="s">
        <v>254</v>
      </c>
      <c r="C20" s="410" t="s">
        <v>231</v>
      </c>
      <c r="D20" s="411"/>
      <c r="E20" s="310">
        <v>200</v>
      </c>
      <c r="F20" s="310">
        <v>4.4000000000000004</v>
      </c>
      <c r="G20" s="310">
        <v>4.22</v>
      </c>
      <c r="H20" s="310">
        <v>13.22</v>
      </c>
      <c r="I20" s="310">
        <v>118.6</v>
      </c>
      <c r="J20" s="310">
        <v>0.18</v>
      </c>
      <c r="K20" s="310">
        <v>0.06</v>
      </c>
      <c r="L20" s="310">
        <v>4.66</v>
      </c>
      <c r="M20" s="310">
        <v>0.18</v>
      </c>
      <c r="N20" s="310"/>
      <c r="O20" s="310">
        <v>34.14</v>
      </c>
      <c r="P20" s="310">
        <v>70.48</v>
      </c>
      <c r="Q20" s="310"/>
      <c r="R20" s="310"/>
      <c r="S20" s="310">
        <v>28.46</v>
      </c>
      <c r="T20" s="310">
        <v>1.64</v>
      </c>
    </row>
    <row r="21" spans="2:20" s="173" customFormat="1" ht="16.5" customHeight="1">
      <c r="B21" s="270">
        <v>312</v>
      </c>
      <c r="C21" s="410" t="s">
        <v>232</v>
      </c>
      <c r="D21" s="411"/>
      <c r="E21" s="310">
        <v>90</v>
      </c>
      <c r="F21" s="310">
        <v>11.295</v>
      </c>
      <c r="G21" s="310">
        <v>11.691000000000001</v>
      </c>
      <c r="H21" s="310">
        <v>3.609</v>
      </c>
      <c r="I21" s="310">
        <v>164.25</v>
      </c>
      <c r="J21" s="310">
        <v>6.3E-2</v>
      </c>
      <c r="K21" s="310">
        <v>9.9000000000000005E-2</v>
      </c>
      <c r="L21" s="310">
        <v>4.5629999999999997</v>
      </c>
      <c r="M21" s="310">
        <v>1.341</v>
      </c>
      <c r="N21" s="310">
        <v>2.0249999999999999</v>
      </c>
      <c r="O21" s="310">
        <v>27.468</v>
      </c>
      <c r="P21" s="310">
        <v>107.271</v>
      </c>
      <c r="Q21" s="310"/>
      <c r="R21" s="310"/>
      <c r="S21" s="310">
        <v>21.626999999999999</v>
      </c>
      <c r="T21" s="310">
        <v>1.89</v>
      </c>
    </row>
    <row r="22" spans="2:20" s="173" customFormat="1" ht="28.5" customHeight="1">
      <c r="B22" s="270">
        <v>349</v>
      </c>
      <c r="C22" s="410" t="s">
        <v>233</v>
      </c>
      <c r="D22" s="411"/>
      <c r="E22" s="310">
        <v>150</v>
      </c>
      <c r="F22" s="310">
        <v>5.7</v>
      </c>
      <c r="G22" s="310">
        <v>3.43</v>
      </c>
      <c r="H22" s="310">
        <v>36.450000000000003</v>
      </c>
      <c r="I22" s="310">
        <v>199.5</v>
      </c>
      <c r="J22" s="310">
        <v>0.09</v>
      </c>
      <c r="K22" s="310">
        <v>0.03</v>
      </c>
      <c r="L22" s="310">
        <v>0</v>
      </c>
      <c r="M22" s="310">
        <v>0.03</v>
      </c>
      <c r="N22" s="310">
        <v>1.25</v>
      </c>
      <c r="O22" s="310">
        <v>13.28</v>
      </c>
      <c r="P22" s="310">
        <v>46.21</v>
      </c>
      <c r="Q22" s="310">
        <v>0.78</v>
      </c>
      <c r="R22" s="310">
        <v>2E-3</v>
      </c>
      <c r="S22" s="310">
        <v>8.4700000000000006</v>
      </c>
      <c r="T22" s="310">
        <v>0.86</v>
      </c>
    </row>
    <row r="23" spans="2:20" s="173" customFormat="1" ht="15" customHeight="1">
      <c r="B23" s="270" t="s">
        <v>224</v>
      </c>
      <c r="C23" s="410" t="s">
        <v>149</v>
      </c>
      <c r="D23" s="411"/>
      <c r="E23" s="310" t="s">
        <v>234</v>
      </c>
      <c r="F23" s="310">
        <v>0.26</v>
      </c>
      <c r="G23" s="310">
        <v>0.06</v>
      </c>
      <c r="H23" s="310">
        <v>15.22</v>
      </c>
      <c r="I23" s="310">
        <v>62.5</v>
      </c>
      <c r="J23" s="310"/>
      <c r="K23" s="310">
        <v>0.01</v>
      </c>
      <c r="L23" s="310">
        <v>2.9</v>
      </c>
      <c r="M23" s="310">
        <v>0</v>
      </c>
      <c r="N23" s="310">
        <v>0.06</v>
      </c>
      <c r="O23" s="310">
        <v>8.0500000000000007</v>
      </c>
      <c r="P23" s="310">
        <v>9.7799999999999994</v>
      </c>
      <c r="Q23" s="310">
        <v>0.02</v>
      </c>
      <c r="R23" s="310">
        <v>0</v>
      </c>
      <c r="S23" s="310">
        <v>5.24</v>
      </c>
      <c r="T23" s="310">
        <v>0.87</v>
      </c>
    </row>
    <row r="24" spans="2:20" s="173" customFormat="1" ht="15.75" customHeight="1">
      <c r="B24" s="270" t="s">
        <v>224</v>
      </c>
      <c r="C24" s="410" t="s">
        <v>235</v>
      </c>
      <c r="D24" s="411"/>
      <c r="E24" s="310">
        <v>40</v>
      </c>
      <c r="F24" s="310">
        <v>2.64</v>
      </c>
      <c r="G24" s="310">
        <v>0.48</v>
      </c>
      <c r="H24" s="310">
        <v>13.68</v>
      </c>
      <c r="I24" s="310">
        <v>69.599999999999994</v>
      </c>
      <c r="J24" s="310">
        <v>0.08</v>
      </c>
      <c r="K24" s="310">
        <v>0.04</v>
      </c>
      <c r="L24" s="310">
        <v>0</v>
      </c>
      <c r="M24" s="310">
        <v>0</v>
      </c>
      <c r="N24" s="310">
        <v>2.4</v>
      </c>
      <c r="O24" s="310">
        <v>14</v>
      </c>
      <c r="P24" s="310">
        <v>63.2</v>
      </c>
      <c r="Q24" s="310">
        <v>1.2</v>
      </c>
      <c r="R24" s="310">
        <v>1E-3</v>
      </c>
      <c r="S24" s="310">
        <v>9.4</v>
      </c>
      <c r="T24" s="310">
        <v>0.78</v>
      </c>
    </row>
    <row r="25" spans="2:20" s="173" customFormat="1" ht="15" customHeight="1">
      <c r="B25" s="270" t="s">
        <v>236</v>
      </c>
      <c r="C25" s="410"/>
      <c r="D25" s="411"/>
      <c r="E25" s="270">
        <v>630</v>
      </c>
      <c r="F25" s="301">
        <v>26.715</v>
      </c>
      <c r="G25" s="301">
        <v>21.350999999999999</v>
      </c>
      <c r="H25" s="301">
        <v>97.619</v>
      </c>
      <c r="I25" s="301">
        <v>699.14</v>
      </c>
      <c r="J25" s="301">
        <v>0.49300000000000005</v>
      </c>
      <c r="K25" s="301">
        <v>0.31900000000000001</v>
      </c>
      <c r="L25" s="301">
        <v>28.062999999999999</v>
      </c>
      <c r="M25" s="301">
        <v>1.6220000000000001</v>
      </c>
      <c r="N25" s="301">
        <v>6.7350000000000003</v>
      </c>
      <c r="O25" s="301">
        <v>129.13800000000001</v>
      </c>
      <c r="P25" s="301">
        <v>328.84100000000001</v>
      </c>
      <c r="Q25" s="301">
        <v>2.2080000000000002</v>
      </c>
      <c r="R25" s="301">
        <v>5.0000000000000001E-3</v>
      </c>
      <c r="S25" s="301">
        <v>83.697000000000003</v>
      </c>
      <c r="T25" s="301">
        <v>6.86</v>
      </c>
    </row>
    <row r="26" spans="2:20" s="173" customFormat="1" ht="20.25" customHeight="1">
      <c r="B26" s="413" t="s">
        <v>226</v>
      </c>
      <c r="C26" s="414"/>
      <c r="D26" s="415"/>
      <c r="E26" s="269"/>
      <c r="F26" s="280">
        <v>0.34694805194805195</v>
      </c>
      <c r="G26" s="280">
        <v>0.27026582278481009</v>
      </c>
      <c r="H26" s="280">
        <v>0.29139999999999999</v>
      </c>
      <c r="I26" s="280">
        <v>0.29750638297872339</v>
      </c>
      <c r="J26" s="280">
        <v>0.41083333333333338</v>
      </c>
      <c r="K26" s="280">
        <v>0.22785714285714287</v>
      </c>
      <c r="L26" s="280">
        <v>0.46771666666666667</v>
      </c>
      <c r="M26" s="281">
        <v>2.3171428571428576</v>
      </c>
      <c r="N26" s="280">
        <v>0.67349999999999999</v>
      </c>
      <c r="O26" s="280">
        <v>0.11739818181818182</v>
      </c>
      <c r="P26" s="280">
        <v>0.29894636363636362</v>
      </c>
      <c r="Q26" s="280">
        <v>0.22080000000000002</v>
      </c>
      <c r="R26" s="280">
        <v>4.9999999999999996E-2</v>
      </c>
      <c r="S26" s="280">
        <v>0.33478800000000003</v>
      </c>
      <c r="T26" s="282">
        <v>0.57166666666666666</v>
      </c>
    </row>
    <row r="27" spans="2:20" s="175" customFormat="1">
      <c r="B27" s="416" t="s">
        <v>237</v>
      </c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</row>
    <row r="28" spans="2:20" s="173" customFormat="1" ht="16.5" customHeight="1">
      <c r="B28" s="270" t="s">
        <v>224</v>
      </c>
      <c r="C28" s="406" t="s">
        <v>238</v>
      </c>
      <c r="D28" s="406"/>
      <c r="E28" s="310">
        <v>100</v>
      </c>
      <c r="F28" s="310">
        <v>7.86</v>
      </c>
      <c r="G28" s="310">
        <v>5.57</v>
      </c>
      <c r="H28" s="310">
        <v>53.71</v>
      </c>
      <c r="I28" s="310">
        <v>297.14</v>
      </c>
      <c r="J28" s="310">
        <v>0.1</v>
      </c>
      <c r="K28" s="310">
        <v>0.04</v>
      </c>
      <c r="L28" s="310">
        <v>0</v>
      </c>
      <c r="M28" s="310">
        <v>0.1</v>
      </c>
      <c r="N28" s="310"/>
      <c r="O28" s="310">
        <v>16.170000000000002</v>
      </c>
      <c r="P28" s="310">
        <v>0</v>
      </c>
      <c r="Q28" s="310">
        <v>0</v>
      </c>
      <c r="R28" s="310">
        <v>0</v>
      </c>
      <c r="S28" s="310">
        <v>11.19</v>
      </c>
      <c r="T28" s="310">
        <v>0.9</v>
      </c>
    </row>
    <row r="29" spans="2:20" s="173" customFormat="1" ht="25.5" customHeight="1">
      <c r="B29" s="271">
        <v>386</v>
      </c>
      <c r="C29" s="417" t="s">
        <v>239</v>
      </c>
      <c r="D29" s="417"/>
      <c r="E29" s="305">
        <v>200</v>
      </c>
      <c r="F29" s="305">
        <v>0.22</v>
      </c>
      <c r="G29" s="305">
        <v>0</v>
      </c>
      <c r="H29" s="305">
        <v>24.42</v>
      </c>
      <c r="I29" s="300">
        <v>98.56</v>
      </c>
      <c r="J29" s="305"/>
      <c r="K29" s="305"/>
      <c r="L29" s="305">
        <v>0.2</v>
      </c>
      <c r="M29" s="305"/>
      <c r="N29" s="305"/>
      <c r="O29" s="305">
        <v>22.6</v>
      </c>
      <c r="P29" s="305">
        <v>7.7</v>
      </c>
      <c r="Q29" s="305">
        <v>0</v>
      </c>
      <c r="R29" s="305">
        <v>0</v>
      </c>
      <c r="S29" s="305">
        <v>3</v>
      </c>
      <c r="T29" s="305">
        <v>0.66</v>
      </c>
    </row>
    <row r="30" spans="2:20" s="173" customFormat="1" ht="13.5" customHeight="1">
      <c r="B30" s="413" t="s">
        <v>240</v>
      </c>
      <c r="C30" s="414"/>
      <c r="D30" s="415"/>
      <c r="E30" s="301">
        <f>E28+E29</f>
        <v>300</v>
      </c>
      <c r="F30" s="301">
        <f t="shared" ref="F30:T30" si="0">F28+F29</f>
        <v>8.08</v>
      </c>
      <c r="G30" s="301">
        <f t="shared" si="0"/>
        <v>5.57</v>
      </c>
      <c r="H30" s="301">
        <f t="shared" si="0"/>
        <v>78.13</v>
      </c>
      <c r="I30" s="301">
        <f t="shared" si="0"/>
        <v>395.7</v>
      </c>
      <c r="J30" s="301">
        <f t="shared" si="0"/>
        <v>0.1</v>
      </c>
      <c r="K30" s="301">
        <f t="shared" si="0"/>
        <v>0.04</v>
      </c>
      <c r="L30" s="301">
        <f t="shared" si="0"/>
        <v>0.2</v>
      </c>
      <c r="M30" s="301">
        <f t="shared" si="0"/>
        <v>0.1</v>
      </c>
      <c r="N30" s="301">
        <f t="shared" si="0"/>
        <v>0</v>
      </c>
      <c r="O30" s="301">
        <f t="shared" si="0"/>
        <v>38.770000000000003</v>
      </c>
      <c r="P30" s="301">
        <f t="shared" si="0"/>
        <v>7.7</v>
      </c>
      <c r="Q30" s="301">
        <f t="shared" si="0"/>
        <v>0</v>
      </c>
      <c r="R30" s="301">
        <f t="shared" si="0"/>
        <v>0</v>
      </c>
      <c r="S30" s="301">
        <f t="shared" si="0"/>
        <v>14.19</v>
      </c>
      <c r="T30" s="301">
        <f t="shared" si="0"/>
        <v>1.56</v>
      </c>
    </row>
    <row r="31" spans="2:20" s="173" customFormat="1" ht="15" customHeight="1">
      <c r="B31" s="405" t="s">
        <v>226</v>
      </c>
      <c r="C31" s="405"/>
      <c r="D31" s="405"/>
      <c r="E31" s="405"/>
      <c r="F31" s="174">
        <f>F30/F34</f>
        <v>0.10493506493506494</v>
      </c>
      <c r="G31" s="174">
        <f t="shared" ref="G31:T31" si="1">G30/G34</f>
        <v>7.0506329113924057E-2</v>
      </c>
      <c r="H31" s="174">
        <f t="shared" si="1"/>
        <v>0.2332238805970149</v>
      </c>
      <c r="I31" s="174">
        <f t="shared" si="1"/>
        <v>0.16838297872340424</v>
      </c>
      <c r="J31" s="174">
        <f t="shared" si="1"/>
        <v>8.3333333333333343E-2</v>
      </c>
      <c r="K31" s="174">
        <f t="shared" si="1"/>
        <v>2.8571428571428574E-2</v>
      </c>
      <c r="L31" s="174">
        <f t="shared" si="1"/>
        <v>3.3333333333333335E-3</v>
      </c>
      <c r="M31" s="174">
        <f t="shared" si="1"/>
        <v>0.14285714285714288</v>
      </c>
      <c r="N31" s="174">
        <f t="shared" si="1"/>
        <v>0</v>
      </c>
      <c r="O31" s="174">
        <f t="shared" si="1"/>
        <v>3.5245454545454545E-2</v>
      </c>
      <c r="P31" s="174">
        <f t="shared" si="1"/>
        <v>7.0000000000000001E-3</v>
      </c>
      <c r="Q31" s="174">
        <f t="shared" si="1"/>
        <v>0</v>
      </c>
      <c r="R31" s="174">
        <f t="shared" si="1"/>
        <v>0</v>
      </c>
      <c r="S31" s="174">
        <f t="shared" si="1"/>
        <v>5.6759999999999998E-2</v>
      </c>
      <c r="T31" s="174">
        <f t="shared" si="1"/>
        <v>0.13</v>
      </c>
    </row>
    <row r="32" spans="2:20" s="173" customFormat="1" ht="15" customHeight="1">
      <c r="B32" s="405" t="s">
        <v>226</v>
      </c>
      <c r="C32" s="405"/>
      <c r="D32" s="405"/>
      <c r="E32" s="405"/>
      <c r="F32" s="174">
        <v>8.5000000000000006E-2</v>
      </c>
      <c r="G32" s="174">
        <v>6.7000000000000004E-2</v>
      </c>
      <c r="H32" s="174">
        <v>0.13400000000000001</v>
      </c>
      <c r="I32" s="174">
        <v>0.108</v>
      </c>
      <c r="J32" s="174">
        <v>6.0999999999999999E-2</v>
      </c>
      <c r="K32" s="174">
        <v>0.21</v>
      </c>
      <c r="L32" s="174">
        <v>0.64800000000000002</v>
      </c>
      <c r="M32" s="174">
        <v>0.105</v>
      </c>
      <c r="N32" s="174">
        <v>0.1</v>
      </c>
      <c r="O32" s="174">
        <v>0.249</v>
      </c>
      <c r="P32" s="174">
        <v>0.187</v>
      </c>
      <c r="Q32" s="174">
        <v>6.2E-2</v>
      </c>
      <c r="R32" s="174">
        <v>2.7E-2</v>
      </c>
      <c r="S32" s="174">
        <v>0.16400000000000001</v>
      </c>
      <c r="T32" s="174">
        <v>0.16200000000000001</v>
      </c>
    </row>
    <row r="33" spans="2:20" s="173" customFormat="1" ht="15" customHeight="1">
      <c r="B33" s="405" t="s">
        <v>241</v>
      </c>
      <c r="C33" s="405"/>
      <c r="D33" s="405"/>
      <c r="E33" s="405"/>
      <c r="F33" s="301">
        <f>F13+F25+F30</f>
        <v>37.835000000000001</v>
      </c>
      <c r="G33" s="301">
        <f t="shared" ref="G33:T33" si="2">G13+G25+G30</f>
        <v>27.241</v>
      </c>
      <c r="H33" s="301">
        <f t="shared" si="2"/>
        <v>195.429</v>
      </c>
      <c r="I33" s="301">
        <f t="shared" si="2"/>
        <v>1183.6399999999999</v>
      </c>
      <c r="J33" s="301">
        <f t="shared" si="2"/>
        <v>0.63300000000000001</v>
      </c>
      <c r="K33" s="301">
        <f t="shared" si="2"/>
        <v>0.36899999999999999</v>
      </c>
      <c r="L33" s="301">
        <f t="shared" si="2"/>
        <v>29.142999999999997</v>
      </c>
      <c r="M33" s="301">
        <f t="shared" si="2"/>
        <v>1.7220000000000002</v>
      </c>
      <c r="N33" s="301">
        <f t="shared" si="2"/>
        <v>7.4350000000000005</v>
      </c>
      <c r="O33" s="301">
        <f t="shared" si="2"/>
        <v>175.90800000000002</v>
      </c>
      <c r="P33" s="301">
        <f t="shared" si="2"/>
        <v>362.541</v>
      </c>
      <c r="Q33" s="301">
        <f t="shared" si="2"/>
        <v>2.2160000000000002</v>
      </c>
      <c r="R33" s="301">
        <f t="shared" si="2"/>
        <v>8.0000000000000002E-3</v>
      </c>
      <c r="S33" s="301">
        <f t="shared" si="2"/>
        <v>97.887</v>
      </c>
      <c r="T33" s="301">
        <f t="shared" si="2"/>
        <v>8.8600000000000012</v>
      </c>
    </row>
    <row r="34" spans="2:20" s="173" customFormat="1" ht="15" customHeight="1">
      <c r="B34" s="405" t="s">
        <v>242</v>
      </c>
      <c r="C34" s="405"/>
      <c r="D34" s="405"/>
      <c r="E34" s="405"/>
      <c r="F34" s="310">
        <v>77</v>
      </c>
      <c r="G34" s="310">
        <v>79</v>
      </c>
      <c r="H34" s="310">
        <v>335</v>
      </c>
      <c r="I34" s="310">
        <v>2350</v>
      </c>
      <c r="J34" s="310">
        <v>1.2</v>
      </c>
      <c r="K34" s="310">
        <v>1.4</v>
      </c>
      <c r="L34" s="310">
        <v>60</v>
      </c>
      <c r="M34" s="310">
        <v>0.7</v>
      </c>
      <c r="N34" s="310">
        <v>10</v>
      </c>
      <c r="O34" s="310">
        <v>1100</v>
      </c>
      <c r="P34" s="310">
        <v>1100</v>
      </c>
      <c r="Q34" s="310">
        <v>10</v>
      </c>
      <c r="R34" s="310">
        <v>0.1</v>
      </c>
      <c r="S34" s="310">
        <v>250</v>
      </c>
      <c r="T34" s="310">
        <v>12</v>
      </c>
    </row>
    <row r="35" spans="2:20" s="173" customFormat="1" ht="15" customHeight="1">
      <c r="B35" s="405" t="s">
        <v>226</v>
      </c>
      <c r="C35" s="405"/>
      <c r="D35" s="405"/>
      <c r="E35" s="405"/>
      <c r="F35" s="174">
        <f>F33/F34</f>
        <v>0.49136363636363639</v>
      </c>
      <c r="G35" s="174">
        <f t="shared" ref="G35:T35" si="3">G33/G34</f>
        <v>0.34482278481012657</v>
      </c>
      <c r="H35" s="174">
        <f t="shared" si="3"/>
        <v>0.58337014925373132</v>
      </c>
      <c r="I35" s="174">
        <f t="shared" si="3"/>
        <v>0.50367659574468082</v>
      </c>
      <c r="J35" s="174">
        <f t="shared" si="3"/>
        <v>0.52750000000000008</v>
      </c>
      <c r="K35" s="174">
        <f t="shared" si="3"/>
        <v>0.26357142857142857</v>
      </c>
      <c r="L35" s="174">
        <f t="shared" si="3"/>
        <v>0.48571666666666663</v>
      </c>
      <c r="M35" s="174">
        <f t="shared" si="3"/>
        <v>2.4600000000000004</v>
      </c>
      <c r="N35" s="174">
        <f t="shared" si="3"/>
        <v>0.74350000000000005</v>
      </c>
      <c r="O35" s="174">
        <f t="shared" si="3"/>
        <v>0.15991636363636366</v>
      </c>
      <c r="P35" s="174">
        <f t="shared" si="3"/>
        <v>0.32958272727272725</v>
      </c>
      <c r="Q35" s="174">
        <f t="shared" si="3"/>
        <v>0.22160000000000002</v>
      </c>
      <c r="R35" s="174">
        <f t="shared" si="3"/>
        <v>0.08</v>
      </c>
      <c r="S35" s="174">
        <f t="shared" si="3"/>
        <v>0.39154800000000001</v>
      </c>
      <c r="T35" s="174">
        <f t="shared" si="3"/>
        <v>0.7383333333333334</v>
      </c>
    </row>
    <row r="36" spans="2:20" s="173" customFormat="1">
      <c r="B36" s="405" t="s">
        <v>243</v>
      </c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</row>
    <row r="37" spans="2:20" s="173" customFormat="1">
      <c r="B37" s="405" t="s">
        <v>189</v>
      </c>
      <c r="C37" s="405"/>
      <c r="D37" s="263"/>
      <c r="E37" s="263"/>
      <c r="F37" s="263"/>
      <c r="G37" s="419" t="s">
        <v>244</v>
      </c>
      <c r="H37" s="419"/>
      <c r="I37" s="419"/>
      <c r="J37" s="263"/>
      <c r="K37" s="263"/>
      <c r="L37" s="405" t="s">
        <v>191</v>
      </c>
      <c r="M37" s="405"/>
      <c r="N37" s="419" t="s">
        <v>192</v>
      </c>
      <c r="O37" s="419"/>
      <c r="P37" s="419"/>
      <c r="Q37" s="419"/>
      <c r="R37" s="263"/>
      <c r="S37" s="263"/>
      <c r="T37" s="263"/>
    </row>
    <row r="38" spans="2:20" s="173" customFormat="1">
      <c r="B38" s="263"/>
      <c r="C38" s="263"/>
      <c r="D38" s="263"/>
      <c r="E38" s="405" t="s">
        <v>194</v>
      </c>
      <c r="F38" s="405"/>
      <c r="G38" s="263">
        <v>1</v>
      </c>
      <c r="H38" s="263"/>
      <c r="I38" s="263"/>
      <c r="J38" s="263"/>
      <c r="K38" s="263"/>
      <c r="L38" s="405" t="s">
        <v>195</v>
      </c>
      <c r="M38" s="405"/>
      <c r="N38" s="419" t="s">
        <v>196</v>
      </c>
      <c r="O38" s="419"/>
      <c r="P38" s="419"/>
      <c r="Q38" s="419"/>
      <c r="R38" s="419"/>
      <c r="S38" s="419"/>
      <c r="T38" s="419"/>
    </row>
    <row r="39" spans="2:20" s="176" customFormat="1">
      <c r="B39" s="265" t="s">
        <v>0</v>
      </c>
      <c r="C39" s="412" t="s">
        <v>198</v>
      </c>
      <c r="D39" s="412"/>
      <c r="E39" s="412" t="s">
        <v>199</v>
      </c>
      <c r="F39" s="412" t="s">
        <v>200</v>
      </c>
      <c r="G39" s="412"/>
      <c r="H39" s="412"/>
      <c r="I39" s="265" t="s">
        <v>201</v>
      </c>
      <c r="J39" s="412" t="s">
        <v>202</v>
      </c>
      <c r="K39" s="412"/>
      <c r="L39" s="412"/>
      <c r="M39" s="412"/>
      <c r="N39" s="412"/>
      <c r="O39" s="412" t="s">
        <v>203</v>
      </c>
      <c r="P39" s="412"/>
      <c r="Q39" s="412"/>
      <c r="R39" s="412"/>
      <c r="S39" s="412"/>
      <c r="T39" s="412"/>
    </row>
    <row r="40" spans="2:20" s="176" customFormat="1" ht="51">
      <c r="B40" s="265" t="s">
        <v>245</v>
      </c>
      <c r="C40" s="412"/>
      <c r="D40" s="412"/>
      <c r="E40" s="412"/>
      <c r="F40" s="265" t="s">
        <v>204</v>
      </c>
      <c r="G40" s="265" t="s">
        <v>205</v>
      </c>
      <c r="H40" s="265" t="s">
        <v>206</v>
      </c>
      <c r="I40" s="265" t="s">
        <v>207</v>
      </c>
      <c r="J40" s="265" t="s">
        <v>208</v>
      </c>
      <c r="K40" s="265" t="s">
        <v>209</v>
      </c>
      <c r="L40" s="265" t="s">
        <v>210</v>
      </c>
      <c r="M40" s="265" t="s">
        <v>211</v>
      </c>
      <c r="N40" s="265" t="s">
        <v>212</v>
      </c>
      <c r="O40" s="265" t="s">
        <v>213</v>
      </c>
      <c r="P40" s="265" t="s">
        <v>214</v>
      </c>
      <c r="Q40" s="265" t="s">
        <v>215</v>
      </c>
      <c r="R40" s="265" t="s">
        <v>216</v>
      </c>
      <c r="S40" s="265" t="s">
        <v>217</v>
      </c>
      <c r="T40" s="265" t="s">
        <v>218</v>
      </c>
    </row>
    <row r="41" spans="2:20" s="173" customFormat="1">
      <c r="B41" s="262">
        <v>1</v>
      </c>
      <c r="C41" s="418">
        <v>2</v>
      </c>
      <c r="D41" s="418"/>
      <c r="E41" s="262">
        <v>3</v>
      </c>
      <c r="F41" s="262">
        <v>4</v>
      </c>
      <c r="G41" s="262">
        <v>5</v>
      </c>
      <c r="H41" s="262">
        <v>6</v>
      </c>
      <c r="I41" s="262">
        <v>7</v>
      </c>
      <c r="J41" s="262">
        <v>8</v>
      </c>
      <c r="K41" s="262">
        <v>9</v>
      </c>
      <c r="L41" s="262">
        <v>10</v>
      </c>
      <c r="M41" s="262">
        <v>11</v>
      </c>
      <c r="N41" s="262">
        <v>12</v>
      </c>
      <c r="O41" s="262">
        <v>13</v>
      </c>
      <c r="P41" s="262">
        <v>14</v>
      </c>
      <c r="Q41" s="262">
        <v>15</v>
      </c>
      <c r="R41" s="262">
        <v>16</v>
      </c>
      <c r="S41" s="262">
        <v>17</v>
      </c>
      <c r="T41" s="262">
        <v>18</v>
      </c>
    </row>
    <row r="42" spans="2:20" s="173" customFormat="1">
      <c r="B42" s="405" t="s">
        <v>246</v>
      </c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405"/>
    </row>
    <row r="43" spans="2:20" s="177" customFormat="1" ht="25.5" customHeight="1">
      <c r="B43" s="306" t="s">
        <v>340</v>
      </c>
      <c r="C43" s="408" t="s">
        <v>339</v>
      </c>
      <c r="D43" s="409"/>
      <c r="E43" s="310">
        <v>40</v>
      </c>
      <c r="F43" s="311">
        <v>1.1200000000000001</v>
      </c>
      <c r="G43" s="311">
        <v>0</v>
      </c>
      <c r="H43" s="311">
        <v>0.52</v>
      </c>
      <c r="I43" s="306">
        <v>6.44</v>
      </c>
      <c r="J43" s="311">
        <v>0</v>
      </c>
      <c r="K43" s="311">
        <v>0</v>
      </c>
      <c r="L43" s="311">
        <v>0</v>
      </c>
      <c r="M43" s="311">
        <v>0</v>
      </c>
      <c r="N43" s="311">
        <v>0</v>
      </c>
      <c r="O43" s="311">
        <v>0</v>
      </c>
      <c r="P43" s="311">
        <v>0</v>
      </c>
      <c r="Q43" s="311">
        <v>0</v>
      </c>
      <c r="R43" s="311">
        <v>0</v>
      </c>
      <c r="S43" s="311">
        <v>0</v>
      </c>
      <c r="T43" s="311">
        <v>0</v>
      </c>
    </row>
    <row r="44" spans="2:20" s="173" customFormat="1" ht="29.25" customHeight="1">
      <c r="B44" s="303">
        <v>71</v>
      </c>
      <c r="C44" s="410" t="s">
        <v>338</v>
      </c>
      <c r="D44" s="411"/>
      <c r="E44" s="303">
        <v>40</v>
      </c>
      <c r="F44" s="303">
        <v>0.33</v>
      </c>
      <c r="G44" s="303">
        <v>0.04</v>
      </c>
      <c r="H44" s="303">
        <v>1.1299999999999999</v>
      </c>
      <c r="I44" s="303">
        <v>6.23</v>
      </c>
      <c r="J44" s="303">
        <v>8.9999999999999993E-3</v>
      </c>
      <c r="K44" s="303">
        <v>0.01</v>
      </c>
      <c r="L44" s="303">
        <v>3</v>
      </c>
      <c r="M44" s="303">
        <v>3.0000000000000001E-3</v>
      </c>
      <c r="N44" s="303">
        <v>0.03</v>
      </c>
      <c r="O44" s="303">
        <v>6.9</v>
      </c>
      <c r="P44" s="303">
        <v>12.6</v>
      </c>
      <c r="Q44" s="303">
        <v>6.4000000000000001E-2</v>
      </c>
      <c r="R44" s="303">
        <v>1E-3</v>
      </c>
      <c r="S44" s="303">
        <v>4.2</v>
      </c>
      <c r="T44" s="303">
        <v>0.18</v>
      </c>
    </row>
    <row r="45" spans="2:20" s="173" customFormat="1" ht="26.25" customHeight="1">
      <c r="B45" s="303" t="s">
        <v>248</v>
      </c>
      <c r="C45" s="410" t="s">
        <v>114</v>
      </c>
      <c r="D45" s="411"/>
      <c r="E45" s="303">
        <v>90</v>
      </c>
      <c r="F45" s="303">
        <v>10.26</v>
      </c>
      <c r="G45" s="303">
        <v>10.08</v>
      </c>
      <c r="H45" s="303">
        <v>12.15</v>
      </c>
      <c r="I45" s="303">
        <v>181.8</v>
      </c>
      <c r="J45" s="303">
        <v>7.0000000000000007E-2</v>
      </c>
      <c r="K45" s="303">
        <v>0.12</v>
      </c>
      <c r="L45" s="303">
        <v>0.9</v>
      </c>
      <c r="M45" s="303">
        <v>7.0000000000000007E-2</v>
      </c>
      <c r="N45" s="303"/>
      <c r="O45" s="303">
        <v>28.8</v>
      </c>
      <c r="P45" s="303">
        <v>0</v>
      </c>
      <c r="Q45" s="303">
        <v>2.5649999999999999</v>
      </c>
      <c r="R45" s="303"/>
      <c r="S45" s="303">
        <v>23.49</v>
      </c>
      <c r="T45" s="303">
        <v>0</v>
      </c>
    </row>
    <row r="46" spans="2:20" s="173" customFormat="1" ht="16.5" customHeight="1">
      <c r="B46" s="310">
        <v>304</v>
      </c>
      <c r="C46" s="410" t="s">
        <v>249</v>
      </c>
      <c r="D46" s="411"/>
      <c r="E46" s="310">
        <v>150</v>
      </c>
      <c r="F46" s="310">
        <v>3.7</v>
      </c>
      <c r="G46" s="310">
        <v>5.37</v>
      </c>
      <c r="H46" s="310">
        <v>36.68</v>
      </c>
      <c r="I46" s="310">
        <v>209.85</v>
      </c>
      <c r="J46" s="310">
        <v>0.03</v>
      </c>
      <c r="K46" s="310">
        <v>0.02</v>
      </c>
      <c r="L46" s="310">
        <v>0</v>
      </c>
      <c r="M46" s="310">
        <v>0.04</v>
      </c>
      <c r="N46" s="310">
        <v>0</v>
      </c>
      <c r="O46" s="310">
        <v>14.9</v>
      </c>
      <c r="P46" s="310">
        <v>79.400000000000006</v>
      </c>
      <c r="Q46" s="310">
        <v>0</v>
      </c>
      <c r="R46" s="310">
        <v>1E-3</v>
      </c>
      <c r="S46" s="310">
        <v>27.9</v>
      </c>
      <c r="T46" s="310">
        <v>0.59</v>
      </c>
    </row>
    <row r="47" spans="2:20" s="173" customFormat="1" ht="18" customHeight="1">
      <c r="B47" s="310">
        <v>379</v>
      </c>
      <c r="C47" s="410" t="s">
        <v>250</v>
      </c>
      <c r="D47" s="411"/>
      <c r="E47" s="310">
        <v>200</v>
      </c>
      <c r="F47" s="310">
        <v>3.17</v>
      </c>
      <c r="G47" s="310">
        <v>2.68</v>
      </c>
      <c r="H47" s="310">
        <v>15.95</v>
      </c>
      <c r="I47" s="310">
        <v>100.6</v>
      </c>
      <c r="J47" s="310">
        <v>0.04</v>
      </c>
      <c r="K47" s="310">
        <v>0.15</v>
      </c>
      <c r="L47" s="310">
        <v>1.3</v>
      </c>
      <c r="M47" s="310">
        <v>0.03</v>
      </c>
      <c r="N47" s="310">
        <v>0.06</v>
      </c>
      <c r="O47" s="310">
        <v>120.4</v>
      </c>
      <c r="P47" s="310">
        <v>90</v>
      </c>
      <c r="Q47" s="310">
        <v>1.1000000000000001</v>
      </c>
      <c r="R47" s="310">
        <v>0.01</v>
      </c>
      <c r="S47" s="310">
        <v>14</v>
      </c>
      <c r="T47" s="310">
        <v>0.12</v>
      </c>
    </row>
    <row r="48" spans="2:20" s="173" customFormat="1" ht="15" customHeight="1">
      <c r="B48" s="310" t="s">
        <v>224</v>
      </c>
      <c r="C48" s="410" t="s">
        <v>161</v>
      </c>
      <c r="D48" s="411"/>
      <c r="E48" s="310">
        <v>40</v>
      </c>
      <c r="F48" s="310">
        <v>3.04</v>
      </c>
      <c r="G48" s="310">
        <v>0.32</v>
      </c>
      <c r="H48" s="310">
        <v>19.68</v>
      </c>
      <c r="I48" s="310">
        <v>93.8</v>
      </c>
      <c r="J48" s="310">
        <v>0.04</v>
      </c>
      <c r="K48" s="310">
        <v>0.01</v>
      </c>
      <c r="L48" s="310">
        <v>0.88</v>
      </c>
      <c r="M48" s="310">
        <v>0</v>
      </c>
      <c r="N48" s="310">
        <v>0.7</v>
      </c>
      <c r="O48" s="310">
        <v>8</v>
      </c>
      <c r="P48" s="310">
        <v>26</v>
      </c>
      <c r="Q48" s="310">
        <v>8.0000000000000002E-3</v>
      </c>
      <c r="R48" s="310">
        <v>3.0000000000000001E-3</v>
      </c>
      <c r="S48" s="310">
        <v>0</v>
      </c>
      <c r="T48" s="310">
        <v>0.44</v>
      </c>
    </row>
    <row r="49" spans="2:20" s="173" customFormat="1" ht="15" customHeight="1">
      <c r="B49" s="178" t="s">
        <v>251</v>
      </c>
      <c r="C49" s="179"/>
      <c r="D49" s="301"/>
      <c r="E49" s="301">
        <v>520</v>
      </c>
      <c r="F49" s="301">
        <v>20.5</v>
      </c>
      <c r="G49" s="301">
        <v>18.489999999999998</v>
      </c>
      <c r="H49" s="301">
        <v>85.59</v>
      </c>
      <c r="I49" s="301">
        <v>592.28</v>
      </c>
      <c r="J49" s="301">
        <v>0.189</v>
      </c>
      <c r="K49" s="301">
        <v>0.31</v>
      </c>
      <c r="L49" s="301">
        <v>6.08</v>
      </c>
      <c r="M49" s="301">
        <v>0.14300000000000002</v>
      </c>
      <c r="N49" s="301">
        <v>0.78999999999999992</v>
      </c>
      <c r="O49" s="301">
        <v>179</v>
      </c>
      <c r="P49" s="301">
        <v>208</v>
      </c>
      <c r="Q49" s="301">
        <v>3.7370000000000001</v>
      </c>
      <c r="R49" s="301">
        <v>1.4999999999999999E-2</v>
      </c>
      <c r="S49" s="301">
        <v>69.59</v>
      </c>
      <c r="T49" s="301">
        <v>1.33</v>
      </c>
    </row>
    <row r="50" spans="2:20" s="173" customFormat="1" ht="15" customHeight="1">
      <c r="B50" s="402" t="s">
        <v>226</v>
      </c>
      <c r="C50" s="403"/>
      <c r="D50" s="403"/>
      <c r="E50" s="403"/>
      <c r="F50" s="420">
        <v>0.26623376623376621</v>
      </c>
      <c r="G50" s="420">
        <v>0.40100000000000002</v>
      </c>
      <c r="H50" s="420">
        <v>0.23200000000000001</v>
      </c>
      <c r="I50" s="420">
        <v>0.29899999999999999</v>
      </c>
      <c r="J50" s="420">
        <v>0.26800000000000002</v>
      </c>
      <c r="K50" s="420">
        <v>0.23200000000000001</v>
      </c>
      <c r="L50" s="420">
        <v>9.4E-2</v>
      </c>
      <c r="M50" s="420">
        <v>0.16900000000000001</v>
      </c>
      <c r="N50" s="420">
        <v>0.08</v>
      </c>
      <c r="O50" s="420">
        <v>0.186</v>
      </c>
      <c r="P50" s="420">
        <v>0.371</v>
      </c>
      <c r="Q50" s="420">
        <v>0.374</v>
      </c>
      <c r="R50" s="420">
        <v>0.6</v>
      </c>
      <c r="S50" s="420">
        <v>0.29399999999999998</v>
      </c>
      <c r="T50" s="421">
        <v>0.29199999999999998</v>
      </c>
    </row>
    <row r="51" spans="2:20" s="173" customFormat="1" ht="26.25" customHeight="1">
      <c r="B51" s="310" t="s">
        <v>227</v>
      </c>
      <c r="C51" s="410"/>
      <c r="D51" s="411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</row>
    <row r="52" spans="2:20" s="173" customFormat="1" ht="30" customHeight="1">
      <c r="B52" s="310">
        <v>52</v>
      </c>
      <c r="C52" s="410" t="s">
        <v>252</v>
      </c>
      <c r="D52" s="411"/>
      <c r="E52" s="310">
        <v>60</v>
      </c>
      <c r="F52" s="310">
        <v>0.86</v>
      </c>
      <c r="G52" s="310">
        <v>3.05</v>
      </c>
      <c r="H52" s="310">
        <v>5.13</v>
      </c>
      <c r="I52" s="310">
        <v>51.41</v>
      </c>
      <c r="J52" s="310">
        <v>0.01</v>
      </c>
      <c r="K52" s="310">
        <v>0.02</v>
      </c>
      <c r="L52" s="310">
        <v>5.7</v>
      </c>
      <c r="M52" s="310">
        <v>0.01</v>
      </c>
      <c r="N52" s="310">
        <v>0.1</v>
      </c>
      <c r="O52" s="310">
        <v>26.61</v>
      </c>
      <c r="P52" s="310">
        <v>25.64</v>
      </c>
      <c r="Q52" s="310">
        <v>0.43</v>
      </c>
      <c r="R52" s="310">
        <v>0.01</v>
      </c>
      <c r="S52" s="310">
        <v>12.9</v>
      </c>
      <c r="T52" s="310">
        <v>0.84</v>
      </c>
    </row>
    <row r="53" spans="2:20" s="173" customFormat="1" ht="15.75" customHeight="1">
      <c r="B53" s="310">
        <v>101</v>
      </c>
      <c r="C53" s="410" t="s">
        <v>253</v>
      </c>
      <c r="D53" s="411"/>
      <c r="E53" s="310">
        <v>200</v>
      </c>
      <c r="F53" s="310">
        <v>2.36</v>
      </c>
      <c r="G53" s="310">
        <v>2.6</v>
      </c>
      <c r="H53" s="310">
        <v>14.8</v>
      </c>
      <c r="I53" s="310">
        <v>92.16</v>
      </c>
      <c r="J53" s="310">
        <v>0.1</v>
      </c>
      <c r="K53" s="310">
        <v>0.06</v>
      </c>
      <c r="L53" s="310">
        <v>5.28</v>
      </c>
      <c r="M53" s="310">
        <v>0.16</v>
      </c>
      <c r="N53" s="310">
        <v>1.52</v>
      </c>
      <c r="O53" s="310">
        <v>22.4</v>
      </c>
      <c r="P53" s="310">
        <v>61.78</v>
      </c>
      <c r="Q53" s="310"/>
      <c r="R53" s="310">
        <v>3.9199999999999999E-3</v>
      </c>
      <c r="S53" s="310">
        <v>32.08</v>
      </c>
      <c r="T53" s="310">
        <v>1.24</v>
      </c>
    </row>
    <row r="54" spans="2:20" s="173" customFormat="1" ht="25.5" customHeight="1">
      <c r="B54" s="180" t="s">
        <v>254</v>
      </c>
      <c r="C54" s="410" t="s">
        <v>255</v>
      </c>
      <c r="D54" s="411"/>
      <c r="E54" s="310">
        <v>90</v>
      </c>
      <c r="F54" s="310">
        <v>8.6999999999999993</v>
      </c>
      <c r="G54" s="310">
        <v>4.7300000000000004</v>
      </c>
      <c r="H54" s="310">
        <v>3.67</v>
      </c>
      <c r="I54" s="310">
        <v>91.5</v>
      </c>
      <c r="J54" s="310"/>
      <c r="K54" s="310"/>
      <c r="L54" s="310">
        <v>2.0499999999999998</v>
      </c>
      <c r="M54" s="310"/>
      <c r="N54" s="310"/>
      <c r="O54" s="310">
        <v>35.869999999999997</v>
      </c>
      <c r="P54" s="310"/>
      <c r="Q54" s="310"/>
      <c r="R54" s="310"/>
      <c r="S54" s="310">
        <v>0</v>
      </c>
      <c r="T54" s="310">
        <v>0.7</v>
      </c>
    </row>
    <row r="55" spans="2:20" s="173" customFormat="1" ht="25.5" customHeight="1">
      <c r="B55" s="310">
        <v>312</v>
      </c>
      <c r="C55" s="410" t="s">
        <v>256</v>
      </c>
      <c r="D55" s="411"/>
      <c r="E55" s="310">
        <v>150</v>
      </c>
      <c r="F55" s="310">
        <v>3.29</v>
      </c>
      <c r="G55" s="310">
        <v>7.06</v>
      </c>
      <c r="H55" s="310">
        <v>22.21</v>
      </c>
      <c r="I55" s="310">
        <v>165.54</v>
      </c>
      <c r="J55" s="310">
        <v>0.16</v>
      </c>
      <c r="K55" s="310">
        <v>0.13</v>
      </c>
      <c r="L55" s="310">
        <v>26.11</v>
      </c>
      <c r="M55" s="310">
        <v>0.08</v>
      </c>
      <c r="N55" s="310">
        <v>1.5</v>
      </c>
      <c r="O55" s="310">
        <v>42.54</v>
      </c>
      <c r="P55" s="310">
        <v>97.8</v>
      </c>
      <c r="Q55" s="310">
        <v>0.29899999999999999</v>
      </c>
      <c r="R55" s="310">
        <v>1E-3</v>
      </c>
      <c r="S55" s="310">
        <v>33.06</v>
      </c>
      <c r="T55" s="310">
        <v>1.19</v>
      </c>
    </row>
    <row r="56" spans="2:20" s="173" customFormat="1" ht="18" customHeight="1">
      <c r="B56" s="310">
        <v>349</v>
      </c>
      <c r="C56" s="410" t="s">
        <v>239</v>
      </c>
      <c r="D56" s="411"/>
      <c r="E56" s="310">
        <v>200</v>
      </c>
      <c r="F56" s="310">
        <v>0.22</v>
      </c>
      <c r="G56" s="310"/>
      <c r="H56" s="310">
        <v>24.42</v>
      </c>
      <c r="I56" s="310">
        <v>98.56</v>
      </c>
      <c r="J56" s="310"/>
      <c r="K56" s="310"/>
      <c r="L56" s="310">
        <v>0.2</v>
      </c>
      <c r="M56" s="310"/>
      <c r="N56" s="310"/>
      <c r="O56" s="310">
        <v>22.6</v>
      </c>
      <c r="P56" s="310">
        <v>7.7</v>
      </c>
      <c r="Q56" s="310">
        <v>0</v>
      </c>
      <c r="R56" s="310">
        <v>0</v>
      </c>
      <c r="S56" s="310">
        <v>3</v>
      </c>
      <c r="T56" s="310">
        <v>0.66</v>
      </c>
    </row>
    <row r="57" spans="2:20" s="173" customFormat="1" ht="15" customHeight="1">
      <c r="B57" s="310" t="s">
        <v>224</v>
      </c>
      <c r="C57" s="410" t="s">
        <v>235</v>
      </c>
      <c r="D57" s="411"/>
      <c r="E57" s="310">
        <v>40</v>
      </c>
      <c r="F57" s="310">
        <v>2.64</v>
      </c>
      <c r="G57" s="310">
        <v>0.48</v>
      </c>
      <c r="H57" s="310">
        <v>13.68</v>
      </c>
      <c r="I57" s="310">
        <v>69.599999999999994</v>
      </c>
      <c r="J57" s="310">
        <v>0.08</v>
      </c>
      <c r="K57" s="310">
        <v>0.04</v>
      </c>
      <c r="L57" s="310">
        <v>0</v>
      </c>
      <c r="M57" s="310">
        <v>0</v>
      </c>
      <c r="N57" s="310">
        <v>2.4</v>
      </c>
      <c r="O57" s="310">
        <v>14</v>
      </c>
      <c r="P57" s="310">
        <v>63.2</v>
      </c>
      <c r="Q57" s="310">
        <v>1.2</v>
      </c>
      <c r="R57" s="310">
        <v>1E-3</v>
      </c>
      <c r="S57" s="310">
        <v>9.4</v>
      </c>
      <c r="T57" s="310">
        <v>0.78</v>
      </c>
    </row>
    <row r="58" spans="2:20" s="173" customFormat="1" ht="27" customHeight="1">
      <c r="B58" s="307" t="s">
        <v>224</v>
      </c>
      <c r="C58" s="308" t="s">
        <v>117</v>
      </c>
      <c r="D58" s="309"/>
      <c r="E58" s="301">
        <v>30</v>
      </c>
      <c r="F58" s="301">
        <v>1.52</v>
      </c>
      <c r="G58" s="301">
        <v>0.16</v>
      </c>
      <c r="H58" s="301">
        <v>9.84</v>
      </c>
      <c r="I58" s="301">
        <v>46.9</v>
      </c>
      <c r="J58" s="301">
        <v>0.02</v>
      </c>
      <c r="K58" s="301">
        <v>0.01</v>
      </c>
      <c r="L58" s="301">
        <v>0.44</v>
      </c>
      <c r="M58" s="301">
        <v>0</v>
      </c>
      <c r="N58" s="301">
        <v>0.7</v>
      </c>
      <c r="O58" s="301">
        <v>4</v>
      </c>
      <c r="P58" s="301">
        <v>13</v>
      </c>
      <c r="Q58" s="301">
        <v>8.0000000000000002E-3</v>
      </c>
      <c r="R58" s="301">
        <v>1E-3</v>
      </c>
      <c r="S58" s="301">
        <v>0</v>
      </c>
      <c r="T58" s="301">
        <v>0.22</v>
      </c>
    </row>
    <row r="59" spans="2:20" s="173" customFormat="1" ht="15" customHeight="1">
      <c r="B59" s="307" t="s">
        <v>236</v>
      </c>
      <c r="C59" s="308"/>
      <c r="D59" s="308"/>
      <c r="E59" s="309">
        <v>770</v>
      </c>
      <c r="F59" s="301">
        <v>19.589999999999996</v>
      </c>
      <c r="G59" s="301">
        <v>18.080000000000002</v>
      </c>
      <c r="H59" s="301">
        <v>93.75</v>
      </c>
      <c r="I59" s="301">
        <v>615.66999999999996</v>
      </c>
      <c r="J59" s="301">
        <v>0.37000000000000005</v>
      </c>
      <c r="K59" s="301">
        <v>0.26</v>
      </c>
      <c r="L59" s="301">
        <v>39.78</v>
      </c>
      <c r="M59" s="301">
        <v>0.25</v>
      </c>
      <c r="N59" s="301">
        <v>6.22</v>
      </c>
      <c r="O59" s="301">
        <v>168.01999999999998</v>
      </c>
      <c r="P59" s="301">
        <v>269.12</v>
      </c>
      <c r="Q59" s="301">
        <v>1.9369999999999998</v>
      </c>
      <c r="R59" s="301">
        <v>1.6920000000000001E-2</v>
      </c>
      <c r="S59" s="301">
        <v>90.44</v>
      </c>
      <c r="T59" s="301">
        <v>5.63</v>
      </c>
    </row>
    <row r="60" spans="2:20" s="173" customFormat="1" ht="15" customHeight="1">
      <c r="B60" s="402" t="s">
        <v>226</v>
      </c>
      <c r="C60" s="403"/>
      <c r="D60" s="403"/>
      <c r="E60" s="404"/>
      <c r="F60" s="280">
        <v>0.25441558441558437</v>
      </c>
      <c r="G60" s="280">
        <v>0.22886075949367091</v>
      </c>
      <c r="H60" s="280">
        <v>0.27985074626865669</v>
      </c>
      <c r="I60" s="280">
        <v>0.2619872340425532</v>
      </c>
      <c r="J60" s="280">
        <v>0.3083333333333334</v>
      </c>
      <c r="K60" s="280">
        <v>0.18571428571428572</v>
      </c>
      <c r="L60" s="280">
        <v>0.66300000000000003</v>
      </c>
      <c r="M60" s="280">
        <v>0.35714285714285715</v>
      </c>
      <c r="N60" s="280">
        <v>0.622</v>
      </c>
      <c r="O60" s="280">
        <v>0.15274545454545452</v>
      </c>
      <c r="P60" s="280">
        <v>0.24465454545454546</v>
      </c>
      <c r="Q60" s="280">
        <v>0.19369999999999998</v>
      </c>
      <c r="R60" s="280">
        <v>0.16919999999999999</v>
      </c>
      <c r="S60" s="280">
        <v>0.36175999999999997</v>
      </c>
      <c r="T60" s="282">
        <v>0.46916666666666668</v>
      </c>
    </row>
    <row r="61" spans="2:20" s="173" customFormat="1" ht="15" customHeight="1">
      <c r="B61" s="422" t="s">
        <v>237</v>
      </c>
      <c r="C61" s="423"/>
      <c r="D61" s="423"/>
      <c r="E61" s="423"/>
      <c r="F61" s="423"/>
      <c r="G61" s="423"/>
      <c r="H61" s="423"/>
      <c r="I61" s="423"/>
      <c r="J61" s="423"/>
      <c r="K61" s="423"/>
      <c r="L61" s="423"/>
      <c r="M61" s="423"/>
      <c r="N61" s="423"/>
      <c r="O61" s="423"/>
      <c r="P61" s="423"/>
      <c r="Q61" s="423"/>
      <c r="R61" s="423"/>
      <c r="S61" s="423"/>
      <c r="T61" s="424"/>
    </row>
    <row r="62" spans="2:20" s="173" customFormat="1" ht="17.25" customHeight="1">
      <c r="B62" s="310" t="s">
        <v>224</v>
      </c>
      <c r="C62" s="410" t="s">
        <v>257</v>
      </c>
      <c r="D62" s="411"/>
      <c r="E62" s="310">
        <v>80</v>
      </c>
      <c r="F62" s="310">
        <v>5.95</v>
      </c>
      <c r="G62" s="310">
        <v>6.05</v>
      </c>
      <c r="H62" s="310">
        <v>38.22</v>
      </c>
      <c r="I62" s="310">
        <v>231.11</v>
      </c>
      <c r="J62" s="310">
        <v>0.06</v>
      </c>
      <c r="K62" s="310">
        <v>0.06</v>
      </c>
      <c r="L62" s="310">
        <v>0.02</v>
      </c>
      <c r="M62" s="310">
        <v>0.06</v>
      </c>
      <c r="N62" s="310"/>
      <c r="O62" s="310">
        <v>19.489999999999998</v>
      </c>
      <c r="P62" s="310">
        <v>55.89</v>
      </c>
      <c r="Q62" s="310"/>
      <c r="R62" s="310">
        <v>0</v>
      </c>
      <c r="S62" s="310">
        <v>8.27</v>
      </c>
      <c r="T62" s="310">
        <v>0.7</v>
      </c>
    </row>
    <row r="63" spans="2:20" s="173" customFormat="1" ht="18.75" customHeight="1">
      <c r="B63" s="305">
        <v>386</v>
      </c>
      <c r="C63" s="425" t="s">
        <v>258</v>
      </c>
      <c r="D63" s="426"/>
      <c r="E63" s="305">
        <v>200</v>
      </c>
      <c r="F63" s="305">
        <v>5.8</v>
      </c>
      <c r="G63" s="305">
        <v>5</v>
      </c>
      <c r="H63" s="305">
        <v>8</v>
      </c>
      <c r="I63" s="300">
        <v>100.2</v>
      </c>
      <c r="J63" s="305">
        <v>0.04</v>
      </c>
      <c r="K63" s="305">
        <v>0.26</v>
      </c>
      <c r="L63" s="305">
        <v>0.6</v>
      </c>
      <c r="M63" s="305">
        <v>0.04</v>
      </c>
      <c r="N63" s="305">
        <v>1E-3</v>
      </c>
      <c r="O63" s="305">
        <v>240</v>
      </c>
      <c r="P63" s="305">
        <v>184</v>
      </c>
      <c r="Q63" s="305">
        <v>0.4</v>
      </c>
      <c r="R63" s="305">
        <v>1E-3</v>
      </c>
      <c r="S63" s="305">
        <v>28</v>
      </c>
      <c r="T63" s="305">
        <v>0.2</v>
      </c>
    </row>
    <row r="64" spans="2:20" s="173" customFormat="1" ht="17.25" customHeight="1">
      <c r="B64" s="413" t="s">
        <v>240</v>
      </c>
      <c r="C64" s="414"/>
      <c r="D64" s="415"/>
      <c r="E64" s="301">
        <v>280</v>
      </c>
      <c r="F64" s="301">
        <v>11.75</v>
      </c>
      <c r="G64" s="301">
        <v>11.05</v>
      </c>
      <c r="H64" s="301">
        <v>46.22</v>
      </c>
      <c r="I64" s="301">
        <v>331.31</v>
      </c>
      <c r="J64" s="301">
        <v>0.1</v>
      </c>
      <c r="K64" s="301">
        <v>0.32</v>
      </c>
      <c r="L64" s="301">
        <v>0.62</v>
      </c>
      <c r="M64" s="301">
        <v>0.1</v>
      </c>
      <c r="N64" s="301">
        <v>1E-3</v>
      </c>
      <c r="O64" s="301">
        <v>259.49</v>
      </c>
      <c r="P64" s="301">
        <v>239.89</v>
      </c>
      <c r="Q64" s="301">
        <v>0.4</v>
      </c>
      <c r="R64" s="301">
        <v>1E-3</v>
      </c>
      <c r="S64" s="301">
        <v>36.269999999999996</v>
      </c>
      <c r="T64" s="301">
        <v>0.89999999999999991</v>
      </c>
    </row>
    <row r="65" spans="2:20" s="173" customFormat="1" ht="15" customHeight="1">
      <c r="B65" s="402" t="s">
        <v>226</v>
      </c>
      <c r="C65" s="403"/>
      <c r="D65" s="403"/>
      <c r="E65" s="404"/>
      <c r="F65" s="174">
        <v>0.15259740259740259</v>
      </c>
      <c r="G65" s="174">
        <v>0.13987341772151898</v>
      </c>
      <c r="H65" s="174">
        <v>0.13797014925373133</v>
      </c>
      <c r="I65" s="174">
        <v>0.14098297872340426</v>
      </c>
      <c r="J65" s="174">
        <v>8.3333333333333343E-2</v>
      </c>
      <c r="K65" s="174">
        <v>0.22857142857142859</v>
      </c>
      <c r="L65" s="174">
        <v>1.0333333333333333E-2</v>
      </c>
      <c r="M65" s="174">
        <v>0.14285714285714288</v>
      </c>
      <c r="N65" s="174">
        <v>1E-4</v>
      </c>
      <c r="O65" s="174">
        <v>0.2359</v>
      </c>
      <c r="P65" s="174">
        <v>0.21808181818181818</v>
      </c>
      <c r="Q65" s="174">
        <v>0.04</v>
      </c>
      <c r="R65" s="174">
        <v>0.01</v>
      </c>
      <c r="S65" s="174">
        <v>0.14507999999999999</v>
      </c>
      <c r="T65" s="174">
        <v>7.4999999999999997E-2</v>
      </c>
    </row>
    <row r="66" spans="2:20" s="173" customFormat="1" ht="15" customHeight="1">
      <c r="B66" s="402" t="s">
        <v>241</v>
      </c>
      <c r="C66" s="403"/>
      <c r="D66" s="403"/>
      <c r="E66" s="404"/>
      <c r="F66" s="301">
        <v>51.839999999999996</v>
      </c>
      <c r="G66" s="301">
        <v>47.620000000000005</v>
      </c>
      <c r="H66" s="301">
        <v>225.56</v>
      </c>
      <c r="I66" s="301">
        <v>1539.26</v>
      </c>
      <c r="J66" s="301">
        <v>0.65900000000000003</v>
      </c>
      <c r="K66" s="301">
        <v>0.89000000000000012</v>
      </c>
      <c r="L66" s="301">
        <v>46.48</v>
      </c>
      <c r="M66" s="301">
        <v>0.49299999999999999</v>
      </c>
      <c r="N66" s="301">
        <v>7.0110000000000001</v>
      </c>
      <c r="O66" s="301">
        <v>606.51</v>
      </c>
      <c r="P66" s="301">
        <v>717.01</v>
      </c>
      <c r="Q66" s="301">
        <v>6.0739999999999998</v>
      </c>
      <c r="R66" s="301">
        <v>3.2920000000000005E-2</v>
      </c>
      <c r="S66" s="301">
        <v>196.3</v>
      </c>
      <c r="T66" s="301">
        <v>7.8599999999999994</v>
      </c>
    </row>
    <row r="67" spans="2:20" s="173" customFormat="1" ht="15" customHeight="1">
      <c r="B67" s="402" t="s">
        <v>242</v>
      </c>
      <c r="C67" s="403"/>
      <c r="D67" s="403"/>
      <c r="E67" s="404"/>
      <c r="F67" s="301">
        <v>77</v>
      </c>
      <c r="G67" s="301">
        <v>79</v>
      </c>
      <c r="H67" s="301">
        <v>335</v>
      </c>
      <c r="I67" s="301">
        <v>2350</v>
      </c>
      <c r="J67" s="301">
        <v>1.2</v>
      </c>
      <c r="K67" s="301">
        <v>1.4</v>
      </c>
      <c r="L67" s="301">
        <v>60</v>
      </c>
      <c r="M67" s="301">
        <v>0.7</v>
      </c>
      <c r="N67" s="301">
        <v>10</v>
      </c>
      <c r="O67" s="301">
        <v>1100</v>
      </c>
      <c r="P67" s="301">
        <v>1100</v>
      </c>
      <c r="Q67" s="301">
        <v>10</v>
      </c>
      <c r="R67" s="301">
        <v>0.1</v>
      </c>
      <c r="S67" s="301">
        <v>250</v>
      </c>
      <c r="T67" s="301">
        <v>12</v>
      </c>
    </row>
    <row r="68" spans="2:20" s="173" customFormat="1" ht="15" customHeight="1">
      <c r="B68" s="402" t="s">
        <v>226</v>
      </c>
      <c r="C68" s="403"/>
      <c r="D68" s="403"/>
      <c r="E68" s="404"/>
      <c r="F68" s="312">
        <v>0.6732467532467532</v>
      </c>
      <c r="G68" s="312">
        <v>0.60278481012658236</v>
      </c>
      <c r="H68" s="312">
        <v>0.6733134328358209</v>
      </c>
      <c r="I68" s="312">
        <v>0.65500425531914896</v>
      </c>
      <c r="J68" s="312">
        <v>0.54916666666666669</v>
      </c>
      <c r="K68" s="312">
        <v>0.6357142857142859</v>
      </c>
      <c r="L68" s="312">
        <v>0.77466666666666661</v>
      </c>
      <c r="M68" s="312">
        <v>0.70428571428571429</v>
      </c>
      <c r="N68" s="312">
        <v>0.70110000000000006</v>
      </c>
      <c r="O68" s="312">
        <v>0.55137272727272724</v>
      </c>
      <c r="P68" s="312">
        <v>0.6518272727272727</v>
      </c>
      <c r="Q68" s="312">
        <v>0.60739999999999994</v>
      </c>
      <c r="R68" s="312">
        <v>0.32920000000000005</v>
      </c>
      <c r="S68" s="312">
        <v>0.78520000000000001</v>
      </c>
      <c r="T68" s="312">
        <v>0.65499999999999992</v>
      </c>
    </row>
    <row r="69" spans="2:20" s="173" customFormat="1" ht="26.25" customHeight="1">
      <c r="B69" s="405"/>
      <c r="C69" s="405"/>
      <c r="D69" s="405"/>
      <c r="E69" s="405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</row>
    <row r="70" spans="2:20" s="173" customFormat="1">
      <c r="B70" s="263"/>
      <c r="C70" s="263"/>
      <c r="D70" s="261"/>
      <c r="E70" s="261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</row>
    <row r="71" spans="2:20">
      <c r="B71" s="401" t="s">
        <v>260</v>
      </c>
      <c r="C71" s="401"/>
      <c r="D71" s="401"/>
      <c r="E71" s="401"/>
      <c r="F71" s="401"/>
      <c r="G71" s="401"/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1"/>
      <c r="S71" s="401"/>
      <c r="T71" s="401"/>
    </row>
    <row r="72" spans="2:20">
      <c r="B72" s="401" t="s">
        <v>261</v>
      </c>
      <c r="C72" s="401"/>
      <c r="D72" s="266"/>
      <c r="E72" s="266"/>
      <c r="F72" s="266"/>
      <c r="G72" s="400" t="s">
        <v>262</v>
      </c>
      <c r="H72" s="400"/>
      <c r="I72" s="400"/>
      <c r="J72" s="266"/>
      <c r="K72" s="266"/>
      <c r="L72" s="401" t="s">
        <v>191</v>
      </c>
      <c r="M72" s="401"/>
      <c r="N72" s="400" t="s">
        <v>192</v>
      </c>
      <c r="O72" s="400"/>
      <c r="P72" s="400"/>
      <c r="Q72" s="400"/>
      <c r="R72" s="266"/>
      <c r="S72" s="266"/>
      <c r="T72" s="266"/>
    </row>
    <row r="73" spans="2:20">
      <c r="B73" s="266"/>
      <c r="C73" s="266"/>
      <c r="D73" s="266"/>
      <c r="E73" s="401" t="s">
        <v>194</v>
      </c>
      <c r="F73" s="401"/>
      <c r="G73" s="266">
        <v>1</v>
      </c>
      <c r="H73" s="266"/>
      <c r="I73" s="266"/>
      <c r="J73" s="266"/>
      <c r="K73" s="266"/>
      <c r="L73" s="401" t="s">
        <v>195</v>
      </c>
      <c r="M73" s="401"/>
      <c r="N73" s="400" t="s">
        <v>196</v>
      </c>
      <c r="O73" s="400"/>
      <c r="P73" s="400"/>
      <c r="Q73" s="400"/>
      <c r="R73" s="400"/>
      <c r="S73" s="400"/>
      <c r="T73" s="400"/>
    </row>
    <row r="74" spans="2:20">
      <c r="B74" s="265" t="s">
        <v>0</v>
      </c>
      <c r="C74" s="412" t="s">
        <v>198</v>
      </c>
      <c r="D74" s="412"/>
      <c r="E74" s="412" t="s">
        <v>199</v>
      </c>
      <c r="F74" s="412" t="s">
        <v>200</v>
      </c>
      <c r="G74" s="412"/>
      <c r="H74" s="412"/>
      <c r="I74" s="265" t="s">
        <v>201</v>
      </c>
      <c r="J74" s="412" t="s">
        <v>202</v>
      </c>
      <c r="K74" s="412"/>
      <c r="L74" s="412"/>
      <c r="M74" s="412"/>
      <c r="N74" s="412"/>
      <c r="O74" s="412" t="s">
        <v>203</v>
      </c>
      <c r="P74" s="412"/>
      <c r="Q74" s="412"/>
      <c r="R74" s="412"/>
      <c r="S74" s="412"/>
      <c r="T74" s="412"/>
    </row>
    <row r="75" spans="2:20" ht="51">
      <c r="B75" s="265" t="s">
        <v>245</v>
      </c>
      <c r="C75" s="412"/>
      <c r="D75" s="412"/>
      <c r="E75" s="412"/>
      <c r="F75" s="265" t="s">
        <v>204</v>
      </c>
      <c r="G75" s="265" t="s">
        <v>205</v>
      </c>
      <c r="H75" s="265" t="s">
        <v>206</v>
      </c>
      <c r="I75" s="265" t="s">
        <v>207</v>
      </c>
      <c r="J75" s="265" t="s">
        <v>208</v>
      </c>
      <c r="K75" s="265" t="s">
        <v>209</v>
      </c>
      <c r="L75" s="265" t="s">
        <v>210</v>
      </c>
      <c r="M75" s="265" t="s">
        <v>211</v>
      </c>
      <c r="N75" s="265" t="s">
        <v>212</v>
      </c>
      <c r="O75" s="265" t="s">
        <v>213</v>
      </c>
      <c r="P75" s="265" t="s">
        <v>214</v>
      </c>
      <c r="Q75" s="265" t="s">
        <v>215</v>
      </c>
      <c r="R75" s="265" t="s">
        <v>216</v>
      </c>
      <c r="S75" s="265" t="s">
        <v>217</v>
      </c>
      <c r="T75" s="265" t="s">
        <v>218</v>
      </c>
    </row>
    <row r="76" spans="2:20">
      <c r="B76" s="264">
        <v>1</v>
      </c>
      <c r="C76" s="407">
        <v>2</v>
      </c>
      <c r="D76" s="407"/>
      <c r="E76" s="264">
        <v>3</v>
      </c>
      <c r="F76" s="264">
        <v>4</v>
      </c>
      <c r="G76" s="264">
        <v>5</v>
      </c>
      <c r="H76" s="264">
        <v>6</v>
      </c>
      <c r="I76" s="264">
        <v>7</v>
      </c>
      <c r="J76" s="264">
        <v>8</v>
      </c>
      <c r="K76" s="264">
        <v>9</v>
      </c>
      <c r="L76" s="264">
        <v>10</v>
      </c>
      <c r="M76" s="264">
        <v>11</v>
      </c>
      <c r="N76" s="264">
        <v>12</v>
      </c>
      <c r="O76" s="264">
        <v>13</v>
      </c>
      <c r="P76" s="264">
        <v>14</v>
      </c>
      <c r="Q76" s="264">
        <v>15</v>
      </c>
      <c r="R76" s="264">
        <v>16</v>
      </c>
      <c r="S76" s="264">
        <v>17</v>
      </c>
      <c r="T76" s="264">
        <v>18</v>
      </c>
    </row>
    <row r="77" spans="2:20">
      <c r="B77" s="401" t="s">
        <v>219</v>
      </c>
      <c r="C77" s="401"/>
      <c r="D77" s="401"/>
      <c r="E77" s="401"/>
      <c r="F77" s="401"/>
      <c r="G77" s="401"/>
      <c r="H77" s="401"/>
      <c r="I77" s="401"/>
      <c r="J77" s="401"/>
      <c r="K77" s="401"/>
      <c r="L77" s="401"/>
      <c r="M77" s="401"/>
      <c r="N77" s="401"/>
      <c r="O77" s="401"/>
      <c r="P77" s="401"/>
      <c r="Q77" s="401"/>
      <c r="R77" s="401"/>
      <c r="S77" s="401"/>
      <c r="T77" s="401"/>
    </row>
    <row r="78" spans="2:20" ht="18.75" customHeight="1">
      <c r="B78" s="266">
        <v>59</v>
      </c>
      <c r="C78" s="417" t="s">
        <v>263</v>
      </c>
      <c r="D78" s="417"/>
      <c r="E78" s="266">
        <v>60</v>
      </c>
      <c r="F78" s="266">
        <v>0.64</v>
      </c>
      <c r="G78" s="266">
        <v>0.1</v>
      </c>
      <c r="H78" s="266">
        <v>5.1100000000000003</v>
      </c>
      <c r="I78" s="266">
        <v>23.9</v>
      </c>
      <c r="J78" s="266">
        <v>0.03</v>
      </c>
      <c r="K78" s="266">
        <v>0.02</v>
      </c>
      <c r="L78" s="266">
        <v>2.63</v>
      </c>
      <c r="M78" s="266">
        <v>0.02</v>
      </c>
      <c r="N78" s="266">
        <v>1.494</v>
      </c>
      <c r="O78" s="266">
        <v>14.4</v>
      </c>
      <c r="P78" s="266">
        <v>20.39</v>
      </c>
      <c r="Q78" s="266">
        <v>0.13</v>
      </c>
      <c r="R78" s="266">
        <v>1E-3</v>
      </c>
      <c r="S78" s="266">
        <v>6.6</v>
      </c>
      <c r="T78" s="266">
        <v>0.64</v>
      </c>
    </row>
    <row r="79" spans="2:20" ht="18.75" customHeight="1">
      <c r="B79" s="266" t="s">
        <v>355</v>
      </c>
      <c r="C79" s="417" t="s">
        <v>346</v>
      </c>
      <c r="D79" s="417"/>
      <c r="E79" s="266">
        <v>100</v>
      </c>
      <c r="F79" s="266">
        <v>1.5</v>
      </c>
      <c r="G79" s="266">
        <v>0.5</v>
      </c>
      <c r="H79" s="266">
        <v>21</v>
      </c>
      <c r="I79" s="266">
        <v>96</v>
      </c>
      <c r="J79" s="266">
        <v>0.04</v>
      </c>
      <c r="K79" s="266"/>
      <c r="L79" s="266">
        <v>10</v>
      </c>
      <c r="M79" s="266"/>
      <c r="N79" s="266">
        <v>0.4</v>
      </c>
      <c r="O79" s="266">
        <v>8</v>
      </c>
      <c r="P79" s="266">
        <v>28</v>
      </c>
      <c r="Q79" s="266"/>
      <c r="R79" s="266"/>
      <c r="S79" s="266">
        <v>42</v>
      </c>
      <c r="T79" s="266">
        <v>0.5</v>
      </c>
    </row>
    <row r="80" spans="2:20" ht="15" customHeight="1">
      <c r="B80" s="181" t="s">
        <v>264</v>
      </c>
      <c r="C80" s="427" t="s">
        <v>265</v>
      </c>
      <c r="D80" s="427"/>
      <c r="E80" s="266">
        <v>30</v>
      </c>
      <c r="F80" s="266">
        <v>0.15</v>
      </c>
      <c r="G80" s="266">
        <v>0</v>
      </c>
      <c r="H80" s="266">
        <v>17.850000000000001</v>
      </c>
      <c r="I80" s="266">
        <v>71.7</v>
      </c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</row>
    <row r="81" spans="2:20" ht="19.5" customHeight="1">
      <c r="B81" s="266" t="s">
        <v>266</v>
      </c>
      <c r="C81" s="417" t="s">
        <v>137</v>
      </c>
      <c r="D81" s="417"/>
      <c r="E81" s="266">
        <v>170</v>
      </c>
      <c r="F81" s="266">
        <v>29.02</v>
      </c>
      <c r="G81" s="266">
        <v>18.239999999999998</v>
      </c>
      <c r="H81" s="266">
        <v>28.34</v>
      </c>
      <c r="I81" s="266">
        <v>394.18</v>
      </c>
      <c r="J81" s="266">
        <v>7.0000000000000007E-2</v>
      </c>
      <c r="K81" s="266">
        <v>0.36</v>
      </c>
      <c r="L81" s="266">
        <v>0.32</v>
      </c>
      <c r="M81" s="266">
        <v>7.0000000000000007E-2</v>
      </c>
      <c r="N81" s="266"/>
      <c r="O81" s="266">
        <v>240.26</v>
      </c>
      <c r="P81" s="266">
        <v>328.66</v>
      </c>
      <c r="Q81" s="266"/>
      <c r="R81" s="266">
        <v>0.03</v>
      </c>
      <c r="S81" s="266">
        <v>36.26</v>
      </c>
      <c r="T81" s="266">
        <v>1.02</v>
      </c>
    </row>
    <row r="82" spans="2:20">
      <c r="B82" s="266">
        <v>376</v>
      </c>
      <c r="C82" s="417" t="s">
        <v>141</v>
      </c>
      <c r="D82" s="417"/>
      <c r="E82" s="266">
        <v>200</v>
      </c>
      <c r="F82" s="266">
        <v>0.2</v>
      </c>
      <c r="G82" s="266">
        <v>0.05</v>
      </c>
      <c r="H82" s="266">
        <v>15.01</v>
      </c>
      <c r="I82" s="266">
        <v>61</v>
      </c>
      <c r="J82" s="266">
        <v>0</v>
      </c>
      <c r="K82" s="266">
        <v>0.01</v>
      </c>
      <c r="L82" s="266">
        <v>9</v>
      </c>
      <c r="M82" s="266">
        <v>1E-4</v>
      </c>
      <c r="N82" s="266">
        <v>4.4999999999999998E-2</v>
      </c>
      <c r="O82" s="266">
        <v>5.25</v>
      </c>
      <c r="P82" s="266">
        <v>8.24</v>
      </c>
      <c r="Q82" s="266">
        <v>8.0000000000000002E-3</v>
      </c>
      <c r="R82" s="266">
        <v>0</v>
      </c>
      <c r="S82" s="266">
        <v>4.4000000000000004</v>
      </c>
      <c r="T82" s="266">
        <v>0.87</v>
      </c>
    </row>
    <row r="83" spans="2:20" ht="21" customHeight="1">
      <c r="B83" s="266" t="s">
        <v>224</v>
      </c>
      <c r="C83" s="417" t="s">
        <v>267</v>
      </c>
      <c r="D83" s="417"/>
      <c r="E83" s="266">
        <v>40</v>
      </c>
      <c r="F83" s="266">
        <v>2.67</v>
      </c>
      <c r="G83" s="266">
        <v>0.53</v>
      </c>
      <c r="H83" s="266">
        <v>13.73</v>
      </c>
      <c r="I83" s="266">
        <v>70.400000000000006</v>
      </c>
      <c r="J83" s="266">
        <v>0.13</v>
      </c>
      <c r="K83" s="266">
        <v>1.2999999999999999E-2</v>
      </c>
      <c r="L83" s="266">
        <v>0.1</v>
      </c>
      <c r="M83" s="266">
        <v>0</v>
      </c>
      <c r="N83" s="266">
        <v>0.93300000000000005</v>
      </c>
      <c r="O83" s="266">
        <v>14</v>
      </c>
      <c r="P83" s="266">
        <v>63.2</v>
      </c>
      <c r="Q83" s="266">
        <v>1.2999999999999999E-2</v>
      </c>
      <c r="R83" s="266">
        <v>4.0000000000000001E-3</v>
      </c>
      <c r="S83" s="266">
        <v>18.8</v>
      </c>
      <c r="T83" s="266">
        <v>1.6</v>
      </c>
    </row>
    <row r="84" spans="2:20">
      <c r="B84" s="401" t="s">
        <v>225</v>
      </c>
      <c r="C84" s="401"/>
      <c r="D84" s="401"/>
      <c r="E84" s="267">
        <f>E78+E80+E81+E82+E83</f>
        <v>500</v>
      </c>
      <c r="F84" s="267">
        <f>F78+F80+F81+F82+F83</f>
        <v>32.68</v>
      </c>
      <c r="G84" s="267">
        <f t="shared" ref="G84:T84" si="4">G78+G80+G81+G82+G83</f>
        <v>18.920000000000002</v>
      </c>
      <c r="H84" s="267">
        <f t="shared" si="4"/>
        <v>80.040000000000006</v>
      </c>
      <c r="I84" s="267">
        <f t="shared" si="4"/>
        <v>621.17999999999995</v>
      </c>
      <c r="J84" s="267">
        <f t="shared" si="4"/>
        <v>0.23</v>
      </c>
      <c r="K84" s="267">
        <f t="shared" si="4"/>
        <v>0.40300000000000002</v>
      </c>
      <c r="L84" s="267">
        <f t="shared" si="4"/>
        <v>12.049999999999999</v>
      </c>
      <c r="M84" s="267">
        <f t="shared" si="4"/>
        <v>9.0100000000000013E-2</v>
      </c>
      <c r="N84" s="267">
        <f t="shared" si="4"/>
        <v>2.472</v>
      </c>
      <c r="O84" s="267">
        <f t="shared" si="4"/>
        <v>273.90999999999997</v>
      </c>
      <c r="P84" s="267">
        <f t="shared" si="4"/>
        <v>420.49</v>
      </c>
      <c r="Q84" s="267">
        <f t="shared" si="4"/>
        <v>0.15100000000000002</v>
      </c>
      <c r="R84" s="267">
        <f t="shared" si="4"/>
        <v>3.5000000000000003E-2</v>
      </c>
      <c r="S84" s="267">
        <f t="shared" si="4"/>
        <v>66.06</v>
      </c>
      <c r="T84" s="267">
        <f t="shared" si="4"/>
        <v>4.1300000000000008</v>
      </c>
    </row>
    <row r="85" spans="2:20">
      <c r="B85" s="401" t="s">
        <v>226</v>
      </c>
      <c r="C85" s="401"/>
      <c r="D85" s="401"/>
      <c r="E85" s="401"/>
      <c r="F85" s="182">
        <f t="shared" ref="F85:T85" si="5">F84/F102</f>
        <v>0.42441558441558441</v>
      </c>
      <c r="G85" s="182">
        <f t="shared" si="5"/>
        <v>0.23949367088607598</v>
      </c>
      <c r="H85" s="182">
        <f t="shared" si="5"/>
        <v>0.23892537313432838</v>
      </c>
      <c r="I85" s="182">
        <f t="shared" si="5"/>
        <v>0.26433191489361701</v>
      </c>
      <c r="J85" s="182">
        <f t="shared" si="5"/>
        <v>0.19166666666666668</v>
      </c>
      <c r="K85" s="182">
        <f t="shared" si="5"/>
        <v>0.28785714285714287</v>
      </c>
      <c r="L85" s="182">
        <f t="shared" si="5"/>
        <v>0.20083333333333331</v>
      </c>
      <c r="M85" s="182">
        <f t="shared" si="5"/>
        <v>0.12871428571428575</v>
      </c>
      <c r="N85" s="182">
        <f t="shared" si="5"/>
        <v>0.2472</v>
      </c>
      <c r="O85" s="182">
        <f t="shared" si="5"/>
        <v>0.24900909090909087</v>
      </c>
      <c r="P85" s="182">
        <f t="shared" si="5"/>
        <v>0.38226363636363636</v>
      </c>
      <c r="Q85" s="182">
        <f t="shared" si="5"/>
        <v>1.5100000000000002E-2</v>
      </c>
      <c r="R85" s="182">
        <f t="shared" si="5"/>
        <v>0.35000000000000003</v>
      </c>
      <c r="S85" s="182">
        <f t="shared" si="5"/>
        <v>0.26424000000000003</v>
      </c>
      <c r="T85" s="182">
        <f t="shared" si="5"/>
        <v>0.34416666666666673</v>
      </c>
    </row>
    <row r="86" spans="2:20">
      <c r="B86" s="401" t="s">
        <v>227</v>
      </c>
      <c r="C86" s="401"/>
      <c r="D86" s="401"/>
      <c r="E86" s="401"/>
      <c r="F86" s="401"/>
      <c r="G86" s="401"/>
      <c r="H86" s="401"/>
      <c r="I86" s="401"/>
      <c r="J86" s="401"/>
      <c r="K86" s="401"/>
      <c r="L86" s="401"/>
      <c r="M86" s="401"/>
      <c r="N86" s="401"/>
      <c r="O86" s="401"/>
      <c r="P86" s="401"/>
      <c r="Q86" s="401"/>
      <c r="R86" s="401"/>
      <c r="S86" s="401"/>
      <c r="T86" s="401"/>
    </row>
    <row r="87" spans="2:20" ht="17.25" customHeight="1">
      <c r="B87" s="266" t="s">
        <v>268</v>
      </c>
      <c r="C87" s="417" t="s">
        <v>269</v>
      </c>
      <c r="D87" s="417"/>
      <c r="E87" s="266">
        <v>60</v>
      </c>
      <c r="F87" s="266">
        <v>0.5</v>
      </c>
      <c r="G87" s="266">
        <v>3.02</v>
      </c>
      <c r="H87" s="266">
        <v>1.1000000000000001</v>
      </c>
      <c r="I87" s="266">
        <v>33.6</v>
      </c>
      <c r="J87" s="266">
        <v>0.09</v>
      </c>
      <c r="K87" s="266">
        <v>0.02</v>
      </c>
      <c r="L87" s="266">
        <v>4.25</v>
      </c>
      <c r="M87" s="266">
        <v>0.09</v>
      </c>
      <c r="N87" s="266"/>
      <c r="O87" s="266">
        <v>20.38</v>
      </c>
      <c r="P87" s="266">
        <v>13.93</v>
      </c>
      <c r="Q87" s="266"/>
      <c r="R87" s="266">
        <v>0</v>
      </c>
      <c r="S87" s="266">
        <v>8.35</v>
      </c>
      <c r="T87" s="266">
        <v>0.38</v>
      </c>
    </row>
    <row r="88" spans="2:20" ht="27" customHeight="1">
      <c r="B88" s="266">
        <v>24</v>
      </c>
      <c r="C88" s="417" t="s">
        <v>270</v>
      </c>
      <c r="D88" s="417"/>
      <c r="E88" s="266">
        <v>60</v>
      </c>
      <c r="F88" s="266">
        <v>0.3</v>
      </c>
      <c r="G88" s="266">
        <v>2</v>
      </c>
      <c r="H88" s="266">
        <v>1.6</v>
      </c>
      <c r="I88" s="266">
        <v>25.6</v>
      </c>
      <c r="J88" s="266">
        <v>0.06</v>
      </c>
      <c r="K88" s="266">
        <v>0.04</v>
      </c>
      <c r="L88" s="266">
        <v>12.4</v>
      </c>
      <c r="M88" s="266">
        <v>0</v>
      </c>
      <c r="N88" s="266">
        <v>1.5</v>
      </c>
      <c r="O88" s="266">
        <v>28.2</v>
      </c>
      <c r="P88" s="266">
        <v>32.299999999999997</v>
      </c>
      <c r="Q88" s="266">
        <v>0.3</v>
      </c>
      <c r="R88" s="266">
        <v>0</v>
      </c>
      <c r="S88" s="266">
        <v>18.600000000000001</v>
      </c>
      <c r="T88" s="266">
        <v>0.5</v>
      </c>
    </row>
    <row r="89" spans="2:20" ht="16.5" customHeight="1">
      <c r="B89" s="266">
        <v>110</v>
      </c>
      <c r="C89" s="417" t="s">
        <v>271</v>
      </c>
      <c r="D89" s="417"/>
      <c r="E89" s="266">
        <v>200</v>
      </c>
      <c r="F89" s="266">
        <v>1.28</v>
      </c>
      <c r="G89" s="266">
        <v>3.84</v>
      </c>
      <c r="H89" s="266">
        <v>8.98</v>
      </c>
      <c r="I89" s="266">
        <v>75</v>
      </c>
      <c r="J89" s="266">
        <v>0.04</v>
      </c>
      <c r="K89" s="266">
        <v>0.04</v>
      </c>
      <c r="L89" s="266">
        <v>6.1</v>
      </c>
      <c r="M89" s="266">
        <v>0.04</v>
      </c>
      <c r="N89" s="266"/>
      <c r="O89" s="266">
        <v>22.26</v>
      </c>
      <c r="P89" s="266">
        <v>0</v>
      </c>
      <c r="Q89" s="266"/>
      <c r="R89" s="266">
        <v>0</v>
      </c>
      <c r="S89" s="266">
        <v>15.58</v>
      </c>
      <c r="T89" s="266">
        <v>0.72</v>
      </c>
    </row>
    <row r="90" spans="2:20" ht="18" customHeight="1">
      <c r="B90" s="266">
        <v>291</v>
      </c>
      <c r="C90" s="417" t="s">
        <v>272</v>
      </c>
      <c r="D90" s="417"/>
      <c r="E90" s="266">
        <v>240</v>
      </c>
      <c r="F90" s="266">
        <v>22.36</v>
      </c>
      <c r="G90" s="266">
        <v>26.14</v>
      </c>
      <c r="H90" s="266">
        <v>47.23</v>
      </c>
      <c r="I90" s="266">
        <v>513.6</v>
      </c>
      <c r="J90" s="266">
        <v>0.82</v>
      </c>
      <c r="K90" s="266">
        <v>0.79</v>
      </c>
      <c r="L90" s="266">
        <v>4.3</v>
      </c>
      <c r="M90" s="266">
        <v>0.46</v>
      </c>
      <c r="N90" s="266">
        <v>0</v>
      </c>
      <c r="O90" s="266">
        <v>44.29</v>
      </c>
      <c r="P90" s="266">
        <v>301.66000000000003</v>
      </c>
      <c r="Q90" s="266">
        <v>0</v>
      </c>
      <c r="R90" s="266">
        <v>0</v>
      </c>
      <c r="S90" s="266">
        <v>64.39</v>
      </c>
      <c r="T90" s="266">
        <v>2.77</v>
      </c>
    </row>
    <row r="91" spans="2:20" ht="18.75" customHeight="1">
      <c r="B91" s="266">
        <v>342</v>
      </c>
      <c r="C91" s="417" t="s">
        <v>273</v>
      </c>
      <c r="D91" s="417"/>
      <c r="E91" s="266">
        <v>200</v>
      </c>
      <c r="F91" s="266">
        <v>0.16</v>
      </c>
      <c r="G91" s="266">
        <v>0.16</v>
      </c>
      <c r="H91" s="266">
        <v>27.9</v>
      </c>
      <c r="I91" s="266">
        <v>113.6</v>
      </c>
      <c r="J91" s="266">
        <v>0.01</v>
      </c>
      <c r="K91" s="266">
        <v>0.01</v>
      </c>
      <c r="L91" s="266">
        <v>6.6</v>
      </c>
      <c r="M91" s="266">
        <v>0.01</v>
      </c>
      <c r="N91" s="266">
        <v>0.4</v>
      </c>
      <c r="O91" s="266">
        <v>6.88</v>
      </c>
      <c r="P91" s="266">
        <v>4.4000000000000004</v>
      </c>
      <c r="Q91" s="266">
        <v>0.08</v>
      </c>
      <c r="R91" s="266">
        <v>0.01</v>
      </c>
      <c r="S91" s="266">
        <v>3.6</v>
      </c>
      <c r="T91" s="266">
        <v>0.95</v>
      </c>
    </row>
    <row r="92" spans="2:20" ht="18" customHeight="1">
      <c r="B92" s="266" t="s">
        <v>224</v>
      </c>
      <c r="C92" s="417" t="s">
        <v>235</v>
      </c>
      <c r="D92" s="417"/>
      <c r="E92" s="266">
        <v>40</v>
      </c>
      <c r="F92" s="266">
        <v>2.64</v>
      </c>
      <c r="G92" s="266">
        <v>0.48</v>
      </c>
      <c r="H92" s="266">
        <v>13.68</v>
      </c>
      <c r="I92" s="266">
        <v>69.599999999999994</v>
      </c>
      <c r="J92" s="266">
        <v>0.08</v>
      </c>
      <c r="K92" s="266">
        <v>0.04</v>
      </c>
      <c r="L92" s="266">
        <v>0</v>
      </c>
      <c r="M92" s="266">
        <v>0</v>
      </c>
      <c r="N92" s="266">
        <v>2.4</v>
      </c>
      <c r="O92" s="266">
        <v>14</v>
      </c>
      <c r="P92" s="266">
        <v>63.2</v>
      </c>
      <c r="Q92" s="266">
        <v>1.2</v>
      </c>
      <c r="R92" s="266">
        <v>1E-3</v>
      </c>
      <c r="S92" s="266">
        <v>9.4</v>
      </c>
      <c r="T92" s="266">
        <v>0.78</v>
      </c>
    </row>
    <row r="93" spans="2:20" ht="18" customHeight="1">
      <c r="B93" s="266" t="s">
        <v>224</v>
      </c>
      <c r="C93" s="417" t="s">
        <v>117</v>
      </c>
      <c r="D93" s="417"/>
      <c r="E93" s="266">
        <v>30</v>
      </c>
      <c r="F93" s="266">
        <v>1.52</v>
      </c>
      <c r="G93" s="266">
        <v>0.16</v>
      </c>
      <c r="H93" s="266">
        <v>9.84</v>
      </c>
      <c r="I93" s="266">
        <v>46.9</v>
      </c>
      <c r="J93" s="266">
        <v>0.02</v>
      </c>
      <c r="K93" s="266">
        <v>0.01</v>
      </c>
      <c r="L93" s="266">
        <v>0.44</v>
      </c>
      <c r="M93" s="266">
        <v>0</v>
      </c>
      <c r="N93" s="266">
        <v>0.7</v>
      </c>
      <c r="O93" s="266">
        <v>4</v>
      </c>
      <c r="P93" s="266">
        <v>13</v>
      </c>
      <c r="Q93" s="266">
        <v>8.0000000000000002E-3</v>
      </c>
      <c r="R93" s="266">
        <v>1E-3</v>
      </c>
      <c r="S93" s="266">
        <v>0</v>
      </c>
      <c r="T93" s="266">
        <v>0.22</v>
      </c>
    </row>
    <row r="94" spans="2:20" ht="25.5" customHeight="1">
      <c r="B94" s="401" t="s">
        <v>236</v>
      </c>
      <c r="C94" s="401"/>
      <c r="D94" s="401"/>
      <c r="E94" s="267">
        <f>SUM(E88:E93)</f>
        <v>770</v>
      </c>
      <c r="F94" s="267">
        <f t="shared" ref="F94:T94" si="6">SUM(F88:F93)</f>
        <v>28.259999999999998</v>
      </c>
      <c r="G94" s="267">
        <f t="shared" si="6"/>
        <v>32.779999999999994</v>
      </c>
      <c r="H94" s="267">
        <f t="shared" si="6"/>
        <v>109.22999999999999</v>
      </c>
      <c r="I94" s="267">
        <f t="shared" si="6"/>
        <v>844.30000000000007</v>
      </c>
      <c r="J94" s="267">
        <f t="shared" si="6"/>
        <v>1.03</v>
      </c>
      <c r="K94" s="267">
        <f t="shared" si="6"/>
        <v>0.93</v>
      </c>
      <c r="L94" s="267">
        <f t="shared" si="6"/>
        <v>29.84</v>
      </c>
      <c r="M94" s="267">
        <f t="shared" si="6"/>
        <v>0.51</v>
      </c>
      <c r="N94" s="267">
        <f t="shared" si="6"/>
        <v>5</v>
      </c>
      <c r="O94" s="267">
        <f t="shared" si="6"/>
        <v>119.63</v>
      </c>
      <c r="P94" s="267">
        <f t="shared" si="6"/>
        <v>414.56</v>
      </c>
      <c r="Q94" s="267">
        <f t="shared" si="6"/>
        <v>1.5880000000000001</v>
      </c>
      <c r="R94" s="267">
        <f t="shared" si="6"/>
        <v>1.2E-2</v>
      </c>
      <c r="S94" s="267">
        <f t="shared" si="6"/>
        <v>111.57</v>
      </c>
      <c r="T94" s="267">
        <f t="shared" si="6"/>
        <v>5.94</v>
      </c>
    </row>
    <row r="95" spans="2:20">
      <c r="B95" s="401" t="s">
        <v>226</v>
      </c>
      <c r="C95" s="401"/>
      <c r="D95" s="401"/>
      <c r="E95" s="401"/>
      <c r="F95" s="182">
        <f t="shared" ref="F95:T95" si="7">F94/F102</f>
        <v>0.36701298701298701</v>
      </c>
      <c r="G95" s="182">
        <f t="shared" si="7"/>
        <v>0.4149367088607594</v>
      </c>
      <c r="H95" s="182">
        <f t="shared" si="7"/>
        <v>0.32605970149253727</v>
      </c>
      <c r="I95" s="182">
        <f t="shared" si="7"/>
        <v>0.3592765957446809</v>
      </c>
      <c r="J95" s="182">
        <f t="shared" si="7"/>
        <v>0.85833333333333339</v>
      </c>
      <c r="K95" s="182">
        <f t="shared" si="7"/>
        <v>0.66428571428571437</v>
      </c>
      <c r="L95" s="182">
        <f t="shared" si="7"/>
        <v>0.49733333333333335</v>
      </c>
      <c r="M95" s="183">
        <f t="shared" si="7"/>
        <v>0.72857142857142865</v>
      </c>
      <c r="N95" s="182">
        <f t="shared" si="7"/>
        <v>0.5</v>
      </c>
      <c r="O95" s="182">
        <f t="shared" si="7"/>
        <v>0.10875454545454545</v>
      </c>
      <c r="P95" s="182">
        <f t="shared" si="7"/>
        <v>0.37687272727272725</v>
      </c>
      <c r="Q95" s="182">
        <f t="shared" si="7"/>
        <v>0.1588</v>
      </c>
      <c r="R95" s="182">
        <f t="shared" si="7"/>
        <v>0.12</v>
      </c>
      <c r="S95" s="182">
        <f t="shared" si="7"/>
        <v>0.44627999999999995</v>
      </c>
      <c r="T95" s="182">
        <f t="shared" si="7"/>
        <v>0.49500000000000005</v>
      </c>
    </row>
    <row r="96" spans="2:20">
      <c r="B96" s="416" t="s">
        <v>237</v>
      </c>
      <c r="C96" s="416"/>
      <c r="D96" s="416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</row>
    <row r="97" spans="2:20" ht="16.5" customHeight="1">
      <c r="B97" s="263" t="s">
        <v>224</v>
      </c>
      <c r="C97" s="406" t="s">
        <v>274</v>
      </c>
      <c r="D97" s="406"/>
      <c r="E97" s="263">
        <v>100</v>
      </c>
      <c r="F97" s="263">
        <v>13.08</v>
      </c>
      <c r="G97" s="263">
        <v>6.06</v>
      </c>
      <c r="H97" s="263">
        <v>49.58</v>
      </c>
      <c r="I97" s="263">
        <v>306</v>
      </c>
      <c r="J97" s="263">
        <v>0.14000000000000001</v>
      </c>
      <c r="K97" s="263">
        <v>0.18</v>
      </c>
      <c r="L97" s="263">
        <v>0.18</v>
      </c>
      <c r="M97" s="263">
        <v>0.14000000000000001</v>
      </c>
      <c r="N97" s="263"/>
      <c r="O97" s="263">
        <v>75.8</v>
      </c>
      <c r="P97" s="263">
        <v>140</v>
      </c>
      <c r="Q97" s="263"/>
      <c r="R97" s="263">
        <v>0</v>
      </c>
      <c r="S97" s="263">
        <v>34.6</v>
      </c>
      <c r="T97" s="263">
        <v>1.52</v>
      </c>
    </row>
    <row r="98" spans="2:20" ht="17.25" customHeight="1">
      <c r="B98" s="266">
        <v>377</v>
      </c>
      <c r="C98" s="417" t="s">
        <v>149</v>
      </c>
      <c r="D98" s="417"/>
      <c r="E98" s="266" t="s">
        <v>234</v>
      </c>
      <c r="F98" s="266">
        <v>0.26</v>
      </c>
      <c r="G98" s="266">
        <v>0.06</v>
      </c>
      <c r="H98" s="266">
        <v>15.22</v>
      </c>
      <c r="I98" s="266">
        <v>62.5</v>
      </c>
      <c r="J98" s="266"/>
      <c r="K98" s="266">
        <v>0.01</v>
      </c>
      <c r="L98" s="266">
        <v>2.9</v>
      </c>
      <c r="M98" s="266">
        <v>0</v>
      </c>
      <c r="N98" s="266">
        <v>0.06</v>
      </c>
      <c r="O98" s="266">
        <v>8.0500000000000007</v>
      </c>
      <c r="P98" s="266">
        <v>9.7799999999999994</v>
      </c>
      <c r="Q98" s="266">
        <v>0.02</v>
      </c>
      <c r="R98" s="266">
        <v>0</v>
      </c>
      <c r="S98" s="266">
        <v>5.24</v>
      </c>
      <c r="T98" s="266">
        <v>0.87</v>
      </c>
    </row>
    <row r="99" spans="2:20" ht="15" customHeight="1">
      <c r="B99" s="178" t="s">
        <v>240</v>
      </c>
      <c r="C99" s="184"/>
      <c r="D99" s="179"/>
      <c r="E99" s="261">
        <f>E97+204</f>
        <v>304</v>
      </c>
      <c r="F99" s="261">
        <f>F97+F98</f>
        <v>13.34</v>
      </c>
      <c r="G99" s="261">
        <f t="shared" ref="G99:T99" si="8">G97+G98</f>
        <v>6.1199999999999992</v>
      </c>
      <c r="H99" s="261">
        <f t="shared" si="8"/>
        <v>64.8</v>
      </c>
      <c r="I99" s="261">
        <f t="shared" si="8"/>
        <v>368.5</v>
      </c>
      <c r="J99" s="261">
        <f t="shared" si="8"/>
        <v>0.14000000000000001</v>
      </c>
      <c r="K99" s="261">
        <f t="shared" si="8"/>
        <v>0.19</v>
      </c>
      <c r="L99" s="261">
        <f t="shared" si="8"/>
        <v>3.08</v>
      </c>
      <c r="M99" s="261">
        <f t="shared" si="8"/>
        <v>0.14000000000000001</v>
      </c>
      <c r="N99" s="261">
        <f t="shared" si="8"/>
        <v>0.06</v>
      </c>
      <c r="O99" s="261">
        <f t="shared" si="8"/>
        <v>83.85</v>
      </c>
      <c r="P99" s="261">
        <f t="shared" si="8"/>
        <v>149.78</v>
      </c>
      <c r="Q99" s="261">
        <f t="shared" si="8"/>
        <v>0.02</v>
      </c>
      <c r="R99" s="261">
        <f t="shared" si="8"/>
        <v>0</v>
      </c>
      <c r="S99" s="261">
        <f t="shared" si="8"/>
        <v>39.840000000000003</v>
      </c>
      <c r="T99" s="261">
        <f t="shared" si="8"/>
        <v>2.39</v>
      </c>
    </row>
    <row r="100" spans="2:20" ht="15" customHeight="1">
      <c r="B100" s="405" t="s">
        <v>226</v>
      </c>
      <c r="C100" s="405"/>
      <c r="D100" s="405"/>
      <c r="E100" s="405"/>
      <c r="F100" s="174">
        <f>F99/F102</f>
        <v>0.17324675324675323</v>
      </c>
      <c r="G100" s="174">
        <f t="shared" ref="G100:T100" si="9">G99/G102</f>
        <v>7.7468354430379735E-2</v>
      </c>
      <c r="H100" s="174">
        <f t="shared" si="9"/>
        <v>0.19343283582089552</v>
      </c>
      <c r="I100" s="174">
        <f t="shared" si="9"/>
        <v>0.15680851063829787</v>
      </c>
      <c r="J100" s="174">
        <f t="shared" si="9"/>
        <v>0.11666666666666668</v>
      </c>
      <c r="K100" s="174">
        <f t="shared" si="9"/>
        <v>0.13571428571428573</v>
      </c>
      <c r="L100" s="174">
        <f t="shared" si="9"/>
        <v>5.1333333333333335E-2</v>
      </c>
      <c r="M100" s="174">
        <f t="shared" si="9"/>
        <v>0.20000000000000004</v>
      </c>
      <c r="N100" s="174">
        <f t="shared" si="9"/>
        <v>6.0000000000000001E-3</v>
      </c>
      <c r="O100" s="174">
        <f t="shared" si="9"/>
        <v>7.6227272727272727E-2</v>
      </c>
      <c r="P100" s="174">
        <f t="shared" si="9"/>
        <v>0.13616363636363638</v>
      </c>
      <c r="Q100" s="174">
        <f t="shared" si="9"/>
        <v>2E-3</v>
      </c>
      <c r="R100" s="174">
        <f t="shared" si="9"/>
        <v>0</v>
      </c>
      <c r="S100" s="174">
        <f t="shared" si="9"/>
        <v>0.15936</v>
      </c>
      <c r="T100" s="174">
        <f t="shared" si="9"/>
        <v>0.19916666666666669</v>
      </c>
    </row>
    <row r="101" spans="2:20">
      <c r="B101" s="401" t="s">
        <v>241</v>
      </c>
      <c r="C101" s="401"/>
      <c r="D101" s="401"/>
      <c r="E101" s="401"/>
      <c r="F101" s="267">
        <f>F99+F94+F84</f>
        <v>74.28</v>
      </c>
      <c r="G101" s="267">
        <f t="shared" ref="G101:T101" si="10">G99+G94+G84</f>
        <v>57.819999999999993</v>
      </c>
      <c r="H101" s="267">
        <f t="shared" si="10"/>
        <v>254.07</v>
      </c>
      <c r="I101" s="267">
        <f t="shared" si="10"/>
        <v>1833.98</v>
      </c>
      <c r="J101" s="267">
        <f t="shared" si="10"/>
        <v>1.4</v>
      </c>
      <c r="K101" s="267">
        <f t="shared" si="10"/>
        <v>1.5230000000000001</v>
      </c>
      <c r="L101" s="267">
        <f t="shared" si="10"/>
        <v>44.97</v>
      </c>
      <c r="M101" s="267">
        <f t="shared" si="10"/>
        <v>0.74009999999999998</v>
      </c>
      <c r="N101" s="267">
        <f t="shared" si="10"/>
        <v>7.532</v>
      </c>
      <c r="O101" s="267">
        <f t="shared" si="10"/>
        <v>477.39</v>
      </c>
      <c r="P101" s="267">
        <f t="shared" si="10"/>
        <v>984.83</v>
      </c>
      <c r="Q101" s="267">
        <f t="shared" si="10"/>
        <v>1.7590000000000001</v>
      </c>
      <c r="R101" s="267">
        <f t="shared" si="10"/>
        <v>4.7E-2</v>
      </c>
      <c r="S101" s="267">
        <f t="shared" si="10"/>
        <v>217.47</v>
      </c>
      <c r="T101" s="267">
        <f t="shared" si="10"/>
        <v>12.46</v>
      </c>
    </row>
    <row r="102" spans="2:20">
      <c r="B102" s="401" t="s">
        <v>242</v>
      </c>
      <c r="C102" s="401"/>
      <c r="D102" s="401"/>
      <c r="E102" s="401"/>
      <c r="F102" s="266">
        <v>77</v>
      </c>
      <c r="G102" s="266">
        <v>79</v>
      </c>
      <c r="H102" s="266">
        <v>335</v>
      </c>
      <c r="I102" s="266">
        <v>2350</v>
      </c>
      <c r="J102" s="266">
        <v>1.2</v>
      </c>
      <c r="K102" s="266">
        <v>1.4</v>
      </c>
      <c r="L102" s="266">
        <v>60</v>
      </c>
      <c r="M102" s="266">
        <v>0.7</v>
      </c>
      <c r="N102" s="266">
        <v>10</v>
      </c>
      <c r="O102" s="266">
        <v>1100</v>
      </c>
      <c r="P102" s="266">
        <v>1100</v>
      </c>
      <c r="Q102" s="266">
        <v>10</v>
      </c>
      <c r="R102" s="266">
        <v>0.1</v>
      </c>
      <c r="S102" s="266">
        <v>250</v>
      </c>
      <c r="T102" s="266">
        <v>12</v>
      </c>
    </row>
    <row r="103" spans="2:20">
      <c r="B103" s="401" t="s">
        <v>226</v>
      </c>
      <c r="C103" s="401"/>
      <c r="D103" s="401"/>
      <c r="E103" s="401"/>
      <c r="F103" s="182">
        <f>F101/F102</f>
        <v>0.96467532467532469</v>
      </c>
      <c r="G103" s="182">
        <f t="shared" ref="G103:T103" si="11">G101/G102</f>
        <v>0.73189873417721507</v>
      </c>
      <c r="H103" s="182">
        <f t="shared" si="11"/>
        <v>0.75841791044776119</v>
      </c>
      <c r="I103" s="182">
        <f t="shared" si="11"/>
        <v>0.78041702127659573</v>
      </c>
      <c r="J103" s="182">
        <f t="shared" si="11"/>
        <v>1.1666666666666667</v>
      </c>
      <c r="K103" s="182">
        <f t="shared" si="11"/>
        <v>1.0878571428571431</v>
      </c>
      <c r="L103" s="182">
        <f t="shared" si="11"/>
        <v>0.74949999999999994</v>
      </c>
      <c r="M103" s="182">
        <f t="shared" si="11"/>
        <v>1.0572857142857144</v>
      </c>
      <c r="N103" s="182">
        <f t="shared" si="11"/>
        <v>0.75319999999999998</v>
      </c>
      <c r="O103" s="182">
        <f t="shared" si="11"/>
        <v>0.43399090909090909</v>
      </c>
      <c r="P103" s="182">
        <f t="shared" si="11"/>
        <v>0.89529999999999998</v>
      </c>
      <c r="Q103" s="182">
        <f t="shared" si="11"/>
        <v>0.1759</v>
      </c>
      <c r="R103" s="182">
        <f t="shared" si="11"/>
        <v>0.47</v>
      </c>
      <c r="S103" s="182">
        <f t="shared" si="11"/>
        <v>0.86987999999999999</v>
      </c>
      <c r="T103" s="182">
        <f t="shared" si="11"/>
        <v>1.0383333333333333</v>
      </c>
    </row>
    <row r="104" spans="2:20">
      <c r="B104" s="172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400" t="s">
        <v>187</v>
      </c>
      <c r="N104" s="400"/>
      <c r="O104" s="400"/>
      <c r="P104" s="400"/>
      <c r="Q104" s="400"/>
      <c r="R104" s="400"/>
      <c r="S104" s="400"/>
      <c r="T104" s="400"/>
    </row>
    <row r="105" spans="2:20">
      <c r="B105" s="401" t="s">
        <v>275</v>
      </c>
      <c r="C105" s="401"/>
      <c r="D105" s="401"/>
      <c r="E105" s="401"/>
      <c r="F105" s="401"/>
      <c r="G105" s="401"/>
      <c r="H105" s="401"/>
      <c r="I105" s="401"/>
      <c r="J105" s="401"/>
      <c r="K105" s="401"/>
      <c r="L105" s="401"/>
      <c r="M105" s="401"/>
      <c r="N105" s="401"/>
      <c r="O105" s="401"/>
      <c r="P105" s="401"/>
      <c r="Q105" s="401"/>
      <c r="R105" s="401"/>
      <c r="S105" s="401"/>
      <c r="T105" s="401"/>
    </row>
    <row r="106" spans="2:20">
      <c r="B106" s="401" t="s">
        <v>189</v>
      </c>
      <c r="C106" s="401"/>
      <c r="D106" s="266"/>
      <c r="E106" s="266"/>
      <c r="F106" s="266"/>
      <c r="G106" s="400" t="s">
        <v>276</v>
      </c>
      <c r="H106" s="400"/>
      <c r="I106" s="400"/>
      <c r="J106" s="266"/>
      <c r="K106" s="266"/>
      <c r="L106" s="401" t="s">
        <v>191</v>
      </c>
      <c r="M106" s="401"/>
      <c r="N106" s="400" t="s">
        <v>192</v>
      </c>
      <c r="O106" s="400"/>
      <c r="P106" s="400"/>
      <c r="Q106" s="400"/>
      <c r="R106" s="266"/>
      <c r="S106" s="266"/>
      <c r="T106" s="266"/>
    </row>
    <row r="107" spans="2:20">
      <c r="B107" s="266"/>
      <c r="C107" s="266"/>
      <c r="D107" s="266"/>
      <c r="E107" s="401" t="s">
        <v>194</v>
      </c>
      <c r="F107" s="401"/>
      <c r="G107" s="266">
        <v>1</v>
      </c>
      <c r="H107" s="266"/>
      <c r="I107" s="266"/>
      <c r="J107" s="266"/>
      <c r="K107" s="266"/>
      <c r="L107" s="401" t="s">
        <v>195</v>
      </c>
      <c r="M107" s="401"/>
      <c r="N107" s="400" t="s">
        <v>196</v>
      </c>
      <c r="O107" s="400"/>
      <c r="P107" s="400"/>
      <c r="Q107" s="400"/>
      <c r="R107" s="400"/>
      <c r="S107" s="400"/>
      <c r="T107" s="400"/>
    </row>
    <row r="108" spans="2:20">
      <c r="B108" s="265" t="s">
        <v>0</v>
      </c>
      <c r="C108" s="412" t="s">
        <v>198</v>
      </c>
      <c r="D108" s="412"/>
      <c r="E108" s="412" t="s">
        <v>199</v>
      </c>
      <c r="F108" s="412" t="s">
        <v>200</v>
      </c>
      <c r="G108" s="412"/>
      <c r="H108" s="412"/>
      <c r="I108" s="265" t="s">
        <v>201</v>
      </c>
      <c r="J108" s="412" t="s">
        <v>202</v>
      </c>
      <c r="K108" s="412"/>
      <c r="L108" s="412"/>
      <c r="M108" s="412"/>
      <c r="N108" s="412"/>
      <c r="O108" s="412" t="s">
        <v>203</v>
      </c>
      <c r="P108" s="412"/>
      <c r="Q108" s="412"/>
      <c r="R108" s="412"/>
      <c r="S108" s="412"/>
      <c r="T108" s="412"/>
    </row>
    <row r="109" spans="2:20" ht="51">
      <c r="B109" s="265" t="s">
        <v>245</v>
      </c>
      <c r="C109" s="412"/>
      <c r="D109" s="412"/>
      <c r="E109" s="412"/>
      <c r="F109" s="265" t="s">
        <v>204</v>
      </c>
      <c r="G109" s="265" t="s">
        <v>205</v>
      </c>
      <c r="H109" s="265" t="s">
        <v>206</v>
      </c>
      <c r="I109" s="265" t="s">
        <v>207</v>
      </c>
      <c r="J109" s="265" t="s">
        <v>208</v>
      </c>
      <c r="K109" s="265" t="s">
        <v>209</v>
      </c>
      <c r="L109" s="265" t="s">
        <v>210</v>
      </c>
      <c r="M109" s="265" t="s">
        <v>211</v>
      </c>
      <c r="N109" s="265" t="s">
        <v>212</v>
      </c>
      <c r="O109" s="265" t="s">
        <v>213</v>
      </c>
      <c r="P109" s="265" t="s">
        <v>214</v>
      </c>
      <c r="Q109" s="265" t="s">
        <v>215</v>
      </c>
      <c r="R109" s="265" t="s">
        <v>216</v>
      </c>
      <c r="S109" s="265" t="s">
        <v>217</v>
      </c>
      <c r="T109" s="265" t="s">
        <v>218</v>
      </c>
    </row>
    <row r="110" spans="2:20">
      <c r="B110" s="264">
        <v>1</v>
      </c>
      <c r="C110" s="407">
        <v>2</v>
      </c>
      <c r="D110" s="407"/>
      <c r="E110" s="264">
        <v>3</v>
      </c>
      <c r="F110" s="264">
        <v>4</v>
      </c>
      <c r="G110" s="264">
        <v>5</v>
      </c>
      <c r="H110" s="264">
        <v>6</v>
      </c>
      <c r="I110" s="264">
        <v>7</v>
      </c>
      <c r="J110" s="264">
        <v>8</v>
      </c>
      <c r="K110" s="264">
        <v>9</v>
      </c>
      <c r="L110" s="264">
        <v>10</v>
      </c>
      <c r="M110" s="264">
        <v>11</v>
      </c>
      <c r="N110" s="264">
        <v>12</v>
      </c>
      <c r="O110" s="264">
        <v>13</v>
      </c>
      <c r="P110" s="264">
        <v>14</v>
      </c>
      <c r="Q110" s="264">
        <v>15</v>
      </c>
      <c r="R110" s="264">
        <v>16</v>
      </c>
      <c r="S110" s="264">
        <v>17</v>
      </c>
      <c r="T110" s="264">
        <v>18</v>
      </c>
    </row>
    <row r="111" spans="2:20">
      <c r="B111" s="401" t="s">
        <v>219</v>
      </c>
      <c r="C111" s="401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</row>
    <row r="112" spans="2:20" ht="18" customHeight="1">
      <c r="B112" s="293" t="s">
        <v>340</v>
      </c>
      <c r="C112" s="425" t="s">
        <v>339</v>
      </c>
      <c r="D112" s="426"/>
      <c r="E112" s="293">
        <v>40</v>
      </c>
      <c r="F112" s="293">
        <v>1.1200000000000001</v>
      </c>
      <c r="G112" s="293">
        <v>0</v>
      </c>
      <c r="H112" s="293">
        <v>0.52</v>
      </c>
      <c r="I112" s="293">
        <v>6.44</v>
      </c>
      <c r="J112" s="293">
        <v>0</v>
      </c>
      <c r="K112" s="293">
        <v>0</v>
      </c>
      <c r="L112" s="293">
        <v>0</v>
      </c>
      <c r="M112" s="293">
        <v>0</v>
      </c>
      <c r="N112" s="293">
        <v>0</v>
      </c>
      <c r="O112" s="293">
        <v>0</v>
      </c>
      <c r="P112" s="293">
        <v>0</v>
      </c>
      <c r="Q112" s="293">
        <v>0</v>
      </c>
      <c r="R112" s="293">
        <v>0</v>
      </c>
      <c r="S112" s="293">
        <v>0</v>
      </c>
      <c r="T112" s="293">
        <v>0</v>
      </c>
    </row>
    <row r="113" spans="2:20" ht="18.75" customHeight="1">
      <c r="B113" s="202">
        <v>71</v>
      </c>
      <c r="C113" s="428" t="s">
        <v>338</v>
      </c>
      <c r="D113" s="429"/>
      <c r="E113" s="202">
        <v>40</v>
      </c>
      <c r="F113" s="202">
        <v>0.33</v>
      </c>
      <c r="G113" s="202">
        <v>0.04</v>
      </c>
      <c r="H113" s="202">
        <v>1.1299999999999999</v>
      </c>
      <c r="I113" s="202">
        <v>6.23</v>
      </c>
      <c r="J113" s="202">
        <v>8.9999999999999993E-3</v>
      </c>
      <c r="K113" s="202">
        <v>0.01</v>
      </c>
      <c r="L113" s="202">
        <v>3</v>
      </c>
      <c r="M113" s="202">
        <v>3.0000000000000001E-3</v>
      </c>
      <c r="N113" s="202">
        <v>0.03</v>
      </c>
      <c r="O113" s="202">
        <v>6.9</v>
      </c>
      <c r="P113" s="202">
        <v>12.6</v>
      </c>
      <c r="Q113" s="202">
        <v>6.4000000000000001E-2</v>
      </c>
      <c r="R113" s="202">
        <v>1E-3</v>
      </c>
      <c r="S113" s="202">
        <v>4.2</v>
      </c>
      <c r="T113" s="202">
        <v>0.18</v>
      </c>
    </row>
    <row r="114" spans="2:20" ht="25.5" customHeight="1">
      <c r="B114" s="293">
        <v>210</v>
      </c>
      <c r="C114" s="425" t="s">
        <v>287</v>
      </c>
      <c r="D114" s="426"/>
      <c r="E114" s="293">
        <v>250</v>
      </c>
      <c r="F114" s="293">
        <v>23.23</v>
      </c>
      <c r="G114" s="293">
        <v>41.38</v>
      </c>
      <c r="H114" s="293">
        <v>4.4000000000000004</v>
      </c>
      <c r="I114" s="293">
        <v>482.75</v>
      </c>
      <c r="J114" s="293">
        <v>0.18</v>
      </c>
      <c r="K114" s="293">
        <v>0.85</v>
      </c>
      <c r="L114" s="293">
        <v>0.43</v>
      </c>
      <c r="M114" s="293">
        <v>0.18</v>
      </c>
      <c r="N114" s="293"/>
      <c r="O114" s="293">
        <v>171.8</v>
      </c>
      <c r="P114" s="293">
        <v>376.3</v>
      </c>
      <c r="Q114" s="293"/>
      <c r="R114" s="293">
        <v>0</v>
      </c>
      <c r="S114" s="293">
        <v>26.9</v>
      </c>
      <c r="T114" s="293">
        <v>4.4000000000000004</v>
      </c>
    </row>
    <row r="115" spans="2:20" ht="15" customHeight="1">
      <c r="B115" s="293">
        <v>338</v>
      </c>
      <c r="C115" s="425" t="s">
        <v>220</v>
      </c>
      <c r="D115" s="426"/>
      <c r="E115" s="293">
        <v>100</v>
      </c>
      <c r="F115" s="293">
        <v>0.4</v>
      </c>
      <c r="G115" s="293">
        <v>0.4</v>
      </c>
      <c r="H115" s="293">
        <v>9.8000000000000007</v>
      </c>
      <c r="I115" s="293">
        <v>44.4</v>
      </c>
      <c r="J115" s="293">
        <v>0.04</v>
      </c>
      <c r="K115" s="293">
        <v>0.02</v>
      </c>
      <c r="L115" s="293">
        <v>10</v>
      </c>
      <c r="M115" s="293">
        <v>0</v>
      </c>
      <c r="N115" s="293">
        <v>0.2</v>
      </c>
      <c r="O115" s="293">
        <v>16</v>
      </c>
      <c r="P115" s="293">
        <v>11</v>
      </c>
      <c r="Q115" s="293">
        <v>0</v>
      </c>
      <c r="R115" s="293">
        <v>0</v>
      </c>
      <c r="S115" s="293">
        <v>9</v>
      </c>
      <c r="T115" s="293">
        <v>2.2000000000000002</v>
      </c>
    </row>
    <row r="116" spans="2:20" ht="15" customHeight="1">
      <c r="B116" s="293">
        <v>376</v>
      </c>
      <c r="C116" s="425" t="s">
        <v>141</v>
      </c>
      <c r="D116" s="426"/>
      <c r="E116" s="293">
        <v>200</v>
      </c>
      <c r="F116" s="293">
        <v>0.2</v>
      </c>
      <c r="G116" s="293">
        <v>0.05</v>
      </c>
      <c r="H116" s="293">
        <v>15.01</v>
      </c>
      <c r="I116" s="293">
        <v>61</v>
      </c>
      <c r="J116" s="293">
        <v>0</v>
      </c>
      <c r="K116" s="293">
        <v>0.01</v>
      </c>
      <c r="L116" s="293">
        <v>9</v>
      </c>
      <c r="M116" s="293">
        <v>1E-4</v>
      </c>
      <c r="N116" s="293">
        <v>4.4999999999999998E-2</v>
      </c>
      <c r="O116" s="293">
        <v>5.25</v>
      </c>
      <c r="P116" s="293">
        <v>8.24</v>
      </c>
      <c r="Q116" s="293">
        <v>8.0000000000000002E-3</v>
      </c>
      <c r="R116" s="293">
        <v>0</v>
      </c>
      <c r="S116" s="293">
        <v>4.4000000000000004</v>
      </c>
      <c r="T116" s="293">
        <v>0.87</v>
      </c>
    </row>
    <row r="117" spans="2:20" ht="17.25" customHeight="1">
      <c r="B117" s="297" t="s">
        <v>224</v>
      </c>
      <c r="C117" s="298" t="s">
        <v>267</v>
      </c>
      <c r="D117" s="299"/>
      <c r="E117" s="294">
        <v>40</v>
      </c>
      <c r="F117" s="294">
        <v>2.67</v>
      </c>
      <c r="G117" s="294">
        <v>0.53</v>
      </c>
      <c r="H117" s="294">
        <v>13.73</v>
      </c>
      <c r="I117" s="294">
        <v>70.400000000000006</v>
      </c>
      <c r="J117" s="294">
        <v>0.13</v>
      </c>
      <c r="K117" s="294">
        <v>1.2999999999999999E-2</v>
      </c>
      <c r="L117" s="294">
        <v>0.1</v>
      </c>
      <c r="M117" s="294">
        <v>0</v>
      </c>
      <c r="N117" s="294">
        <v>0.93</v>
      </c>
      <c r="O117" s="294">
        <v>14</v>
      </c>
      <c r="P117" s="294">
        <v>63.2</v>
      </c>
      <c r="Q117" s="294">
        <v>1.2999999999999999E-2</v>
      </c>
      <c r="R117" s="294">
        <v>1.2999999999999999E-2</v>
      </c>
      <c r="S117" s="294">
        <v>18.8</v>
      </c>
      <c r="T117" s="294">
        <v>1.6</v>
      </c>
    </row>
    <row r="118" spans="2:20" ht="15" customHeight="1">
      <c r="B118" s="405" t="s">
        <v>225</v>
      </c>
      <c r="C118" s="405"/>
      <c r="D118" s="405"/>
      <c r="E118" s="295">
        <f>SUM(E113:E117)</f>
        <v>630</v>
      </c>
      <c r="F118" s="295">
        <f t="shared" ref="F118:T118" si="12">SUM(F113:F117)</f>
        <v>26.83</v>
      </c>
      <c r="G118" s="295">
        <f t="shared" si="12"/>
        <v>42.4</v>
      </c>
      <c r="H118" s="295">
        <f t="shared" si="12"/>
        <v>44.070000000000007</v>
      </c>
      <c r="I118" s="295">
        <f t="shared" si="12"/>
        <v>664.78</v>
      </c>
      <c r="J118" s="295">
        <f t="shared" si="12"/>
        <v>0.35899999999999999</v>
      </c>
      <c r="K118" s="295">
        <f t="shared" si="12"/>
        <v>0.90300000000000002</v>
      </c>
      <c r="L118" s="295">
        <f t="shared" si="12"/>
        <v>22.53</v>
      </c>
      <c r="M118" s="295">
        <f t="shared" si="12"/>
        <v>0.18309999999999998</v>
      </c>
      <c r="N118" s="295">
        <f t="shared" si="12"/>
        <v>1.2050000000000001</v>
      </c>
      <c r="O118" s="295">
        <f t="shared" si="12"/>
        <v>213.95000000000002</v>
      </c>
      <c r="P118" s="295">
        <f t="shared" si="12"/>
        <v>471.34000000000003</v>
      </c>
      <c r="Q118" s="295">
        <f t="shared" si="12"/>
        <v>8.5000000000000006E-2</v>
      </c>
      <c r="R118" s="295">
        <f t="shared" si="12"/>
        <v>1.3999999999999999E-2</v>
      </c>
      <c r="S118" s="295">
        <f t="shared" si="12"/>
        <v>63.3</v>
      </c>
      <c r="T118" s="295">
        <f t="shared" si="12"/>
        <v>9.25</v>
      </c>
    </row>
    <row r="119" spans="2:20" ht="15" customHeight="1">
      <c r="B119" s="405" t="s">
        <v>226</v>
      </c>
      <c r="C119" s="405"/>
      <c r="D119" s="405"/>
      <c r="E119" s="405"/>
      <c r="F119" s="174">
        <f>F118/F136</f>
        <v>0.34844155844155844</v>
      </c>
      <c r="G119" s="174">
        <f t="shared" ref="G119:T119" si="13">G118/G136</f>
        <v>0.53670886075949364</v>
      </c>
      <c r="H119" s="174">
        <f t="shared" si="13"/>
        <v>0.13155223880597017</v>
      </c>
      <c r="I119" s="174">
        <f t="shared" si="13"/>
        <v>0.2828851063829787</v>
      </c>
      <c r="J119" s="174">
        <f t="shared" si="13"/>
        <v>0.29916666666666669</v>
      </c>
      <c r="K119" s="174">
        <f t="shared" si="13"/>
        <v>0.64500000000000002</v>
      </c>
      <c r="L119" s="174">
        <f t="shared" si="13"/>
        <v>0.3755</v>
      </c>
      <c r="M119" s="174">
        <f t="shared" si="13"/>
        <v>0.26157142857142857</v>
      </c>
      <c r="N119" s="174">
        <f t="shared" si="13"/>
        <v>0.12050000000000001</v>
      </c>
      <c r="O119" s="174">
        <f t="shared" si="13"/>
        <v>0.19450000000000001</v>
      </c>
      <c r="P119" s="174">
        <f t="shared" si="13"/>
        <v>0.42849090909090914</v>
      </c>
      <c r="Q119" s="174">
        <f t="shared" si="13"/>
        <v>8.5000000000000006E-3</v>
      </c>
      <c r="R119" s="174">
        <f t="shared" si="13"/>
        <v>0.13999999999999999</v>
      </c>
      <c r="S119" s="174">
        <f t="shared" si="13"/>
        <v>0.25319999999999998</v>
      </c>
      <c r="T119" s="174">
        <f t="shared" si="13"/>
        <v>0.77083333333333337</v>
      </c>
    </row>
    <row r="120" spans="2:20" ht="15" customHeight="1">
      <c r="B120" s="416" t="s">
        <v>227</v>
      </c>
      <c r="C120" s="416"/>
      <c r="D120" s="416"/>
      <c r="E120" s="416"/>
      <c r="F120" s="416"/>
      <c r="G120" s="416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  <c r="T120" s="416"/>
    </row>
    <row r="121" spans="2:20" s="185" customFormat="1" ht="18" customHeight="1">
      <c r="B121" s="296">
        <v>52</v>
      </c>
      <c r="C121" s="406" t="s">
        <v>252</v>
      </c>
      <c r="D121" s="406"/>
      <c r="E121" s="296">
        <v>100</v>
      </c>
      <c r="F121" s="296">
        <v>1.43</v>
      </c>
      <c r="G121" s="296">
        <v>5.08</v>
      </c>
      <c r="H121" s="296">
        <v>8.5500000000000007</v>
      </c>
      <c r="I121" s="296">
        <v>85.68</v>
      </c>
      <c r="J121" s="296">
        <v>0.02</v>
      </c>
      <c r="K121" s="296">
        <v>0.03</v>
      </c>
      <c r="L121" s="296">
        <v>9.5</v>
      </c>
      <c r="M121" s="296">
        <v>0.02</v>
      </c>
      <c r="N121" s="296">
        <v>0.17</v>
      </c>
      <c r="O121" s="296">
        <v>44.35</v>
      </c>
      <c r="P121" s="296">
        <v>42.73</v>
      </c>
      <c r="Q121" s="296">
        <v>0.72</v>
      </c>
      <c r="R121" s="296">
        <v>1.7000000000000001E-2</v>
      </c>
      <c r="S121" s="296">
        <v>21.5</v>
      </c>
      <c r="T121" s="296">
        <v>1.4</v>
      </c>
    </row>
    <row r="122" spans="2:20" ht="27" customHeight="1">
      <c r="B122" s="296" t="s">
        <v>289</v>
      </c>
      <c r="C122" s="417" t="s">
        <v>290</v>
      </c>
      <c r="D122" s="417"/>
      <c r="E122" s="296">
        <v>250</v>
      </c>
      <c r="F122" s="296">
        <v>2.63</v>
      </c>
      <c r="G122" s="296">
        <v>2.63</v>
      </c>
      <c r="H122" s="296">
        <v>19.38</v>
      </c>
      <c r="I122" s="296">
        <v>112.5</v>
      </c>
      <c r="J122" s="296">
        <v>0.1</v>
      </c>
      <c r="K122" s="296">
        <v>0.05</v>
      </c>
      <c r="L122" s="296">
        <v>7</v>
      </c>
      <c r="M122" s="296">
        <v>0.1</v>
      </c>
      <c r="N122" s="296"/>
      <c r="O122" s="296">
        <v>15.8</v>
      </c>
      <c r="P122" s="296">
        <v>0</v>
      </c>
      <c r="Q122" s="296"/>
      <c r="R122" s="296">
        <v>0</v>
      </c>
      <c r="S122" s="296">
        <v>24</v>
      </c>
      <c r="T122" s="296">
        <v>0.9</v>
      </c>
    </row>
    <row r="123" spans="2:20" ht="27" customHeight="1">
      <c r="B123" s="296">
        <v>295</v>
      </c>
      <c r="C123" s="417" t="s">
        <v>291</v>
      </c>
      <c r="D123" s="417"/>
      <c r="E123" s="296">
        <v>100</v>
      </c>
      <c r="F123" s="296">
        <v>15.24</v>
      </c>
      <c r="G123" s="296">
        <v>5.8</v>
      </c>
      <c r="H123" s="296">
        <v>10.16</v>
      </c>
      <c r="I123" s="296">
        <v>153.80000000000001</v>
      </c>
      <c r="J123" s="296">
        <v>0.09</v>
      </c>
      <c r="K123" s="296">
        <v>0.08</v>
      </c>
      <c r="L123" s="296">
        <v>0.24</v>
      </c>
      <c r="M123" s="296">
        <v>1E-3</v>
      </c>
      <c r="N123" s="296">
        <v>7.3999999999999996E-2</v>
      </c>
      <c r="O123" s="296">
        <v>14.03</v>
      </c>
      <c r="P123" s="296">
        <v>93.98</v>
      </c>
      <c r="Q123" s="296">
        <v>1.17</v>
      </c>
      <c r="R123" s="296">
        <v>0.04</v>
      </c>
      <c r="S123" s="296">
        <v>16.239999999999998</v>
      </c>
      <c r="T123" s="296">
        <v>1.89</v>
      </c>
    </row>
    <row r="124" spans="2:20" ht="25.5" customHeight="1">
      <c r="B124" s="293" t="s">
        <v>292</v>
      </c>
      <c r="C124" s="417" t="s">
        <v>293</v>
      </c>
      <c r="D124" s="417"/>
      <c r="E124" s="296">
        <v>180</v>
      </c>
      <c r="F124" s="296">
        <v>4.32</v>
      </c>
      <c r="G124" s="296">
        <v>4.21</v>
      </c>
      <c r="H124" s="296">
        <v>43.96</v>
      </c>
      <c r="I124" s="296">
        <v>234.94</v>
      </c>
      <c r="J124" s="296">
        <v>0.09</v>
      </c>
      <c r="K124" s="296">
        <v>7.0000000000000007E-2</v>
      </c>
      <c r="L124" s="296">
        <v>9.92</v>
      </c>
      <c r="M124" s="296">
        <v>0.09</v>
      </c>
      <c r="N124" s="296"/>
      <c r="O124" s="296">
        <v>64.64</v>
      </c>
      <c r="P124" s="296">
        <v>0</v>
      </c>
      <c r="Q124" s="296"/>
      <c r="R124" s="296">
        <v>0</v>
      </c>
      <c r="S124" s="296">
        <v>70.599999999999994</v>
      </c>
      <c r="T124" s="296">
        <v>1.42</v>
      </c>
    </row>
    <row r="125" spans="2:20" ht="28.5" customHeight="1">
      <c r="B125" s="296">
        <v>377</v>
      </c>
      <c r="C125" s="406" t="s">
        <v>149</v>
      </c>
      <c r="D125" s="406"/>
      <c r="E125" s="296" t="s">
        <v>151</v>
      </c>
      <c r="F125" s="296">
        <v>0.26</v>
      </c>
      <c r="G125" s="296">
        <v>0.06</v>
      </c>
      <c r="H125" s="296">
        <v>15.22</v>
      </c>
      <c r="I125" s="296">
        <v>62.5</v>
      </c>
      <c r="J125" s="296"/>
      <c r="K125" s="296">
        <v>0.01</v>
      </c>
      <c r="L125" s="296">
        <v>2.9</v>
      </c>
      <c r="M125" s="296">
        <v>0</v>
      </c>
      <c r="N125" s="296">
        <v>0.06</v>
      </c>
      <c r="O125" s="296">
        <v>8.0500000000000007</v>
      </c>
      <c r="P125" s="296">
        <v>9.7799999999999994</v>
      </c>
      <c r="Q125" s="296">
        <v>1.7000000000000001E-2</v>
      </c>
      <c r="R125" s="296">
        <v>0</v>
      </c>
      <c r="S125" s="296">
        <v>5.24</v>
      </c>
      <c r="T125" s="296">
        <v>0.87</v>
      </c>
    </row>
    <row r="126" spans="2:20" ht="18.75" customHeight="1">
      <c r="B126" s="296" t="s">
        <v>224</v>
      </c>
      <c r="C126" s="406" t="s">
        <v>235</v>
      </c>
      <c r="D126" s="406"/>
      <c r="E126" s="296">
        <v>40</v>
      </c>
      <c r="F126" s="296">
        <v>2.64</v>
      </c>
      <c r="G126" s="296">
        <v>0.48</v>
      </c>
      <c r="H126" s="296">
        <v>13.68</v>
      </c>
      <c r="I126" s="296">
        <v>69.599999999999994</v>
      </c>
      <c r="J126" s="296">
        <v>0.08</v>
      </c>
      <c r="K126" s="296">
        <v>0.04</v>
      </c>
      <c r="L126" s="296">
        <v>0</v>
      </c>
      <c r="M126" s="296">
        <v>0</v>
      </c>
      <c r="N126" s="296">
        <v>2.4</v>
      </c>
      <c r="O126" s="296">
        <v>14</v>
      </c>
      <c r="P126" s="296">
        <v>63.2</v>
      </c>
      <c r="Q126" s="296">
        <v>1.2</v>
      </c>
      <c r="R126" s="296">
        <v>1E-3</v>
      </c>
      <c r="S126" s="296">
        <v>9.4</v>
      </c>
      <c r="T126" s="296">
        <v>0.78</v>
      </c>
    </row>
    <row r="127" spans="2:20" ht="15" customHeight="1">
      <c r="B127" s="296" t="s">
        <v>224</v>
      </c>
      <c r="C127" s="406" t="s">
        <v>117</v>
      </c>
      <c r="D127" s="406"/>
      <c r="E127" s="296">
        <v>30</v>
      </c>
      <c r="F127" s="296">
        <v>1.52</v>
      </c>
      <c r="G127" s="296">
        <v>0.16</v>
      </c>
      <c r="H127" s="296">
        <v>9.84</v>
      </c>
      <c r="I127" s="296">
        <v>46.9</v>
      </c>
      <c r="J127" s="296">
        <v>0.02</v>
      </c>
      <c r="K127" s="296">
        <v>0.01</v>
      </c>
      <c r="L127" s="296">
        <v>0.44</v>
      </c>
      <c r="M127" s="296">
        <v>0</v>
      </c>
      <c r="N127" s="296">
        <v>0.7</v>
      </c>
      <c r="O127" s="296">
        <v>4</v>
      </c>
      <c r="P127" s="296">
        <v>13</v>
      </c>
      <c r="Q127" s="296">
        <v>8.0000000000000002E-3</v>
      </c>
      <c r="R127" s="296">
        <v>1E-3</v>
      </c>
      <c r="S127" s="296">
        <v>0</v>
      </c>
      <c r="T127" s="296">
        <v>0.22</v>
      </c>
    </row>
    <row r="128" spans="2:20" ht="25.5" customHeight="1">
      <c r="B128" s="405" t="s">
        <v>236</v>
      </c>
      <c r="C128" s="405"/>
      <c r="D128" s="405"/>
      <c r="E128" s="295">
        <f>E121+E122+E123+E124+E126+E127+204</f>
        <v>904</v>
      </c>
      <c r="F128" s="295">
        <f>SUM(F121:F127)</f>
        <v>28.040000000000003</v>
      </c>
      <c r="G128" s="295">
        <f t="shared" ref="G128:T128" si="14">SUM(G121:G127)</f>
        <v>18.419999999999998</v>
      </c>
      <c r="H128" s="295">
        <f t="shared" si="14"/>
        <v>120.79000000000002</v>
      </c>
      <c r="I128" s="295">
        <f t="shared" si="14"/>
        <v>765.92000000000007</v>
      </c>
      <c r="J128" s="295">
        <f t="shared" si="14"/>
        <v>0.40000000000000008</v>
      </c>
      <c r="K128" s="295">
        <f t="shared" si="14"/>
        <v>0.29000000000000004</v>
      </c>
      <c r="L128" s="295">
        <f t="shared" si="14"/>
        <v>29.999999999999996</v>
      </c>
      <c r="M128" s="295">
        <f t="shared" si="14"/>
        <v>0.21100000000000002</v>
      </c>
      <c r="N128" s="295">
        <f t="shared" si="14"/>
        <v>3.4039999999999999</v>
      </c>
      <c r="O128" s="295">
        <f t="shared" si="14"/>
        <v>164.87</v>
      </c>
      <c r="P128" s="295">
        <f t="shared" si="14"/>
        <v>222.69</v>
      </c>
      <c r="Q128" s="295">
        <f t="shared" si="14"/>
        <v>3.1149999999999998</v>
      </c>
      <c r="R128" s="295">
        <f t="shared" si="14"/>
        <v>5.9000000000000004E-2</v>
      </c>
      <c r="S128" s="295">
        <f t="shared" si="14"/>
        <v>146.97999999999999</v>
      </c>
      <c r="T128" s="295">
        <f t="shared" si="14"/>
        <v>7.4799999999999995</v>
      </c>
    </row>
    <row r="129" spans="2:20" ht="15" customHeight="1">
      <c r="B129" s="405" t="s">
        <v>226</v>
      </c>
      <c r="C129" s="405"/>
      <c r="D129" s="405"/>
      <c r="E129" s="405"/>
      <c r="F129" s="174">
        <f>F128/F136</f>
        <v>0.36415584415584418</v>
      </c>
      <c r="G129" s="174">
        <f t="shared" ref="G129:T129" si="15">G128/G136</f>
        <v>0.23316455696202529</v>
      </c>
      <c r="H129" s="174">
        <f t="shared" si="15"/>
        <v>0.36056716417910456</v>
      </c>
      <c r="I129" s="174">
        <f t="shared" si="15"/>
        <v>0.32592340425531918</v>
      </c>
      <c r="J129" s="174">
        <f t="shared" si="15"/>
        <v>0.33333333333333343</v>
      </c>
      <c r="K129" s="174">
        <f t="shared" si="15"/>
        <v>0.20714285714285718</v>
      </c>
      <c r="L129" s="174">
        <f t="shared" si="15"/>
        <v>0.49999999999999994</v>
      </c>
      <c r="M129" s="174">
        <f t="shared" si="15"/>
        <v>0.30142857142857149</v>
      </c>
      <c r="N129" s="174">
        <f t="shared" si="15"/>
        <v>0.34039999999999998</v>
      </c>
      <c r="O129" s="174">
        <f t="shared" si="15"/>
        <v>0.1498818181818182</v>
      </c>
      <c r="P129" s="174">
        <f t="shared" si="15"/>
        <v>0.20244545454545454</v>
      </c>
      <c r="Q129" s="174">
        <f t="shared" si="15"/>
        <v>0.3115</v>
      </c>
      <c r="R129" s="174">
        <f t="shared" si="15"/>
        <v>0.59</v>
      </c>
      <c r="S129" s="174">
        <f t="shared" si="15"/>
        <v>0.58792</v>
      </c>
      <c r="T129" s="174">
        <f t="shared" si="15"/>
        <v>0.62333333333333329</v>
      </c>
    </row>
    <row r="130" spans="2:20">
      <c r="B130" s="401" t="s">
        <v>237</v>
      </c>
      <c r="C130" s="401"/>
      <c r="D130" s="401"/>
      <c r="E130" s="401"/>
      <c r="F130" s="401"/>
      <c r="G130" s="401"/>
      <c r="H130" s="401"/>
      <c r="I130" s="401"/>
      <c r="J130" s="401"/>
      <c r="K130" s="401"/>
      <c r="L130" s="401"/>
      <c r="M130" s="401"/>
      <c r="N130" s="401"/>
      <c r="O130" s="401"/>
      <c r="P130" s="401"/>
      <c r="Q130" s="401"/>
      <c r="R130" s="401"/>
      <c r="S130" s="401"/>
      <c r="T130" s="401"/>
    </row>
    <row r="131" spans="2:20" ht="15" customHeight="1">
      <c r="B131" s="296" t="s">
        <v>224</v>
      </c>
      <c r="C131" s="406" t="s">
        <v>238</v>
      </c>
      <c r="D131" s="406"/>
      <c r="E131" s="296">
        <v>100</v>
      </c>
      <c r="F131" s="296">
        <v>7.86</v>
      </c>
      <c r="G131" s="296">
        <v>5.57</v>
      </c>
      <c r="H131" s="296">
        <v>53.71</v>
      </c>
      <c r="I131" s="296">
        <v>297.14</v>
      </c>
      <c r="J131" s="296">
        <v>0.1</v>
      </c>
      <c r="K131" s="296">
        <v>0.04</v>
      </c>
      <c r="L131" s="296">
        <v>0</v>
      </c>
      <c r="M131" s="296">
        <v>0.1</v>
      </c>
      <c r="N131" s="296"/>
      <c r="O131" s="296">
        <v>16.170000000000002</v>
      </c>
      <c r="P131" s="296">
        <v>0</v>
      </c>
      <c r="Q131" s="296">
        <v>0</v>
      </c>
      <c r="R131" s="296">
        <v>0</v>
      </c>
      <c r="S131" s="296">
        <v>11.19</v>
      </c>
      <c r="T131" s="296">
        <v>0.9</v>
      </c>
    </row>
    <row r="132" spans="2:20" ht="19.5" customHeight="1">
      <c r="B132" s="296">
        <v>648</v>
      </c>
      <c r="C132" s="406" t="s">
        <v>294</v>
      </c>
      <c r="D132" s="406"/>
      <c r="E132" s="296">
        <v>200</v>
      </c>
      <c r="F132" s="296">
        <v>0</v>
      </c>
      <c r="G132" s="296">
        <v>0</v>
      </c>
      <c r="H132" s="296">
        <v>20</v>
      </c>
      <c r="I132" s="296">
        <v>76</v>
      </c>
      <c r="J132" s="296">
        <v>0</v>
      </c>
      <c r="K132" s="296">
        <v>0</v>
      </c>
      <c r="L132" s="296">
        <v>0</v>
      </c>
      <c r="M132" s="296">
        <v>0</v>
      </c>
      <c r="N132" s="296"/>
      <c r="O132" s="296">
        <v>0.48</v>
      </c>
      <c r="P132" s="296">
        <v>0</v>
      </c>
      <c r="Q132" s="296">
        <v>0</v>
      </c>
      <c r="R132" s="296">
        <v>0</v>
      </c>
      <c r="S132" s="296">
        <v>0</v>
      </c>
      <c r="T132" s="296">
        <v>0.06</v>
      </c>
    </row>
    <row r="133" spans="2:20" ht="25.5" customHeight="1">
      <c r="B133" s="413" t="s">
        <v>240</v>
      </c>
      <c r="C133" s="414"/>
      <c r="D133" s="415"/>
      <c r="E133" s="295">
        <f>E131+E132</f>
        <v>300</v>
      </c>
      <c r="F133" s="295">
        <f t="shared" ref="F133:T133" si="16">F131+F132</f>
        <v>7.86</v>
      </c>
      <c r="G133" s="295">
        <f t="shared" si="16"/>
        <v>5.57</v>
      </c>
      <c r="H133" s="295">
        <f t="shared" si="16"/>
        <v>73.710000000000008</v>
      </c>
      <c r="I133" s="295">
        <f t="shared" si="16"/>
        <v>373.14</v>
      </c>
      <c r="J133" s="295">
        <f t="shared" si="16"/>
        <v>0.1</v>
      </c>
      <c r="K133" s="295">
        <f t="shared" si="16"/>
        <v>0.04</v>
      </c>
      <c r="L133" s="295">
        <f t="shared" si="16"/>
        <v>0</v>
      </c>
      <c r="M133" s="295">
        <f t="shared" si="16"/>
        <v>0.1</v>
      </c>
      <c r="N133" s="295">
        <f t="shared" si="16"/>
        <v>0</v>
      </c>
      <c r="O133" s="295">
        <f t="shared" si="16"/>
        <v>16.650000000000002</v>
      </c>
      <c r="P133" s="295">
        <f t="shared" si="16"/>
        <v>0</v>
      </c>
      <c r="Q133" s="295">
        <f t="shared" si="16"/>
        <v>0</v>
      </c>
      <c r="R133" s="295">
        <f t="shared" si="16"/>
        <v>0</v>
      </c>
      <c r="S133" s="295">
        <f t="shared" si="16"/>
        <v>11.19</v>
      </c>
      <c r="T133" s="295">
        <f t="shared" si="16"/>
        <v>0.96</v>
      </c>
    </row>
    <row r="134" spans="2:20" ht="15" customHeight="1">
      <c r="B134" s="405" t="s">
        <v>226</v>
      </c>
      <c r="C134" s="405"/>
      <c r="D134" s="405"/>
      <c r="E134" s="405"/>
      <c r="F134" s="174">
        <f>F133/F136</f>
        <v>0.10207792207792209</v>
      </c>
      <c r="G134" s="174">
        <f t="shared" ref="G134:T134" si="17">G133/G136</f>
        <v>7.0506329113924057E-2</v>
      </c>
      <c r="H134" s="174">
        <f t="shared" si="17"/>
        <v>0.22002985074626868</v>
      </c>
      <c r="I134" s="174">
        <f t="shared" si="17"/>
        <v>0.15878297872340424</v>
      </c>
      <c r="J134" s="174">
        <f t="shared" si="17"/>
        <v>8.3333333333333343E-2</v>
      </c>
      <c r="K134" s="174">
        <f t="shared" si="17"/>
        <v>2.8571428571428574E-2</v>
      </c>
      <c r="L134" s="174">
        <f t="shared" si="17"/>
        <v>0</v>
      </c>
      <c r="M134" s="174">
        <f t="shared" si="17"/>
        <v>0.14285714285714288</v>
      </c>
      <c r="N134" s="174">
        <f t="shared" si="17"/>
        <v>0</v>
      </c>
      <c r="O134" s="174">
        <f t="shared" si="17"/>
        <v>1.5136363636363639E-2</v>
      </c>
      <c r="P134" s="174">
        <f t="shared" si="17"/>
        <v>0</v>
      </c>
      <c r="Q134" s="174">
        <f t="shared" si="17"/>
        <v>0</v>
      </c>
      <c r="R134" s="174">
        <f t="shared" si="17"/>
        <v>0</v>
      </c>
      <c r="S134" s="174">
        <f t="shared" si="17"/>
        <v>4.4760000000000001E-2</v>
      </c>
      <c r="T134" s="174">
        <f t="shared" si="17"/>
        <v>0.08</v>
      </c>
    </row>
    <row r="135" spans="2:20" ht="15" customHeight="1">
      <c r="B135" s="401" t="s">
        <v>241</v>
      </c>
      <c r="C135" s="401"/>
      <c r="D135" s="401"/>
      <c r="E135" s="401"/>
      <c r="F135" s="274">
        <f>F133+F128+F117</f>
        <v>38.570000000000007</v>
      </c>
      <c r="G135" s="274">
        <f t="shared" ref="G135:T135" si="18">G133+G128+G117</f>
        <v>24.52</v>
      </c>
      <c r="H135" s="274">
        <f t="shared" si="18"/>
        <v>208.23000000000002</v>
      </c>
      <c r="I135" s="274">
        <f t="shared" si="18"/>
        <v>1209.46</v>
      </c>
      <c r="J135" s="274">
        <f t="shared" si="18"/>
        <v>0.63000000000000012</v>
      </c>
      <c r="K135" s="274">
        <f t="shared" si="18"/>
        <v>0.34300000000000003</v>
      </c>
      <c r="L135" s="274">
        <f t="shared" si="18"/>
        <v>30.099999999999998</v>
      </c>
      <c r="M135" s="274">
        <f t="shared" si="18"/>
        <v>0.31100000000000005</v>
      </c>
      <c r="N135" s="274">
        <f t="shared" si="18"/>
        <v>4.3339999999999996</v>
      </c>
      <c r="O135" s="274">
        <f t="shared" si="18"/>
        <v>195.52</v>
      </c>
      <c r="P135" s="274">
        <f t="shared" si="18"/>
        <v>285.89</v>
      </c>
      <c r="Q135" s="274">
        <f t="shared" si="18"/>
        <v>3.1279999999999997</v>
      </c>
      <c r="R135" s="274">
        <f t="shared" si="18"/>
        <v>7.2000000000000008E-2</v>
      </c>
      <c r="S135" s="274">
        <f t="shared" si="18"/>
        <v>176.97</v>
      </c>
      <c r="T135" s="274">
        <f t="shared" si="18"/>
        <v>10.039999999999999</v>
      </c>
    </row>
    <row r="136" spans="2:20" ht="15" customHeight="1">
      <c r="B136" s="401" t="s">
        <v>242</v>
      </c>
      <c r="C136" s="401"/>
      <c r="D136" s="401"/>
      <c r="E136" s="401"/>
      <c r="F136" s="277">
        <v>77</v>
      </c>
      <c r="G136" s="277">
        <v>79</v>
      </c>
      <c r="H136" s="277">
        <v>335</v>
      </c>
      <c r="I136" s="277">
        <v>2350</v>
      </c>
      <c r="J136" s="277">
        <v>1.2</v>
      </c>
      <c r="K136" s="277">
        <v>1.4</v>
      </c>
      <c r="L136" s="277">
        <v>60</v>
      </c>
      <c r="M136" s="277">
        <v>0.7</v>
      </c>
      <c r="N136" s="277">
        <v>10</v>
      </c>
      <c r="O136" s="277">
        <v>1100</v>
      </c>
      <c r="P136" s="277">
        <v>1100</v>
      </c>
      <c r="Q136" s="277">
        <v>10</v>
      </c>
      <c r="R136" s="277">
        <v>0.1</v>
      </c>
      <c r="S136" s="277">
        <v>250</v>
      </c>
      <c r="T136" s="277">
        <v>12</v>
      </c>
    </row>
    <row r="137" spans="2:20" ht="15" customHeight="1">
      <c r="B137" s="401" t="s">
        <v>226</v>
      </c>
      <c r="C137" s="401"/>
      <c r="D137" s="401"/>
      <c r="E137" s="401"/>
      <c r="F137" s="182">
        <f>F135/F136</f>
        <v>0.50090909090909097</v>
      </c>
      <c r="G137" s="182">
        <f t="shared" ref="G137:T137" si="19">G135/G136</f>
        <v>0.31037974683544306</v>
      </c>
      <c r="H137" s="182">
        <f t="shared" si="19"/>
        <v>0.62158208955223881</v>
      </c>
      <c r="I137" s="182">
        <f t="shared" si="19"/>
        <v>0.51466382978723402</v>
      </c>
      <c r="J137" s="182">
        <f t="shared" si="19"/>
        <v>0.52500000000000013</v>
      </c>
      <c r="K137" s="182">
        <f t="shared" si="19"/>
        <v>0.24500000000000002</v>
      </c>
      <c r="L137" s="182">
        <f t="shared" si="19"/>
        <v>0.50166666666666659</v>
      </c>
      <c r="M137" s="182">
        <f t="shared" si="19"/>
        <v>0.44428571428571439</v>
      </c>
      <c r="N137" s="182">
        <f t="shared" si="19"/>
        <v>0.43339999999999995</v>
      </c>
      <c r="O137" s="182">
        <f t="shared" si="19"/>
        <v>0.17774545454545457</v>
      </c>
      <c r="P137" s="182">
        <f t="shared" si="19"/>
        <v>0.25989999999999996</v>
      </c>
      <c r="Q137" s="182">
        <f t="shared" si="19"/>
        <v>0.31279999999999997</v>
      </c>
      <c r="R137" s="182">
        <f t="shared" si="19"/>
        <v>0.72000000000000008</v>
      </c>
      <c r="S137" s="182">
        <f t="shared" si="19"/>
        <v>0.70787999999999995</v>
      </c>
      <c r="T137" s="182">
        <f t="shared" si="19"/>
        <v>0.83666666666666656</v>
      </c>
    </row>
    <row r="138" spans="2:20">
      <c r="B138" s="172"/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400" t="s">
        <v>187</v>
      </c>
      <c r="N138" s="400"/>
      <c r="O138" s="400"/>
      <c r="P138" s="400"/>
      <c r="Q138" s="400"/>
      <c r="R138" s="400"/>
      <c r="S138" s="400"/>
      <c r="T138" s="400"/>
    </row>
    <row r="139" spans="2:20">
      <c r="B139" s="401" t="s">
        <v>284</v>
      </c>
      <c r="C139" s="401"/>
      <c r="D139" s="401"/>
      <c r="E139" s="401"/>
      <c r="F139" s="401"/>
      <c r="G139" s="401"/>
      <c r="H139" s="401"/>
      <c r="I139" s="401"/>
      <c r="J139" s="401"/>
      <c r="K139" s="401"/>
      <c r="L139" s="401"/>
      <c r="M139" s="401"/>
      <c r="N139" s="401"/>
      <c r="O139" s="401"/>
      <c r="P139" s="401"/>
      <c r="Q139" s="401"/>
      <c r="R139" s="401"/>
      <c r="S139" s="401"/>
      <c r="T139" s="401"/>
    </row>
    <row r="140" spans="2:20">
      <c r="B140" s="401" t="s">
        <v>189</v>
      </c>
      <c r="C140" s="401"/>
      <c r="D140" s="266"/>
      <c r="E140" s="266"/>
      <c r="F140" s="266"/>
      <c r="G140" s="400" t="s">
        <v>285</v>
      </c>
      <c r="H140" s="400"/>
      <c r="I140" s="400"/>
      <c r="J140" s="266"/>
      <c r="K140" s="266"/>
      <c r="L140" s="401" t="s">
        <v>191</v>
      </c>
      <c r="M140" s="401"/>
      <c r="N140" s="400" t="s">
        <v>286</v>
      </c>
      <c r="O140" s="400"/>
      <c r="P140" s="400"/>
      <c r="Q140" s="400"/>
      <c r="R140" s="266"/>
      <c r="S140" s="266"/>
      <c r="T140" s="266"/>
    </row>
    <row r="141" spans="2:20">
      <c r="B141" s="266"/>
      <c r="C141" s="266"/>
      <c r="D141" s="266"/>
      <c r="E141" s="401" t="s">
        <v>194</v>
      </c>
      <c r="F141" s="401"/>
      <c r="G141" s="266">
        <v>1</v>
      </c>
      <c r="H141" s="266"/>
      <c r="I141" s="266"/>
      <c r="J141" s="266"/>
      <c r="K141" s="266"/>
      <c r="L141" s="401" t="s">
        <v>195</v>
      </c>
      <c r="M141" s="401"/>
      <c r="N141" s="400" t="s">
        <v>196</v>
      </c>
      <c r="O141" s="400"/>
      <c r="P141" s="400"/>
      <c r="Q141" s="400"/>
      <c r="R141" s="400"/>
      <c r="S141" s="400"/>
      <c r="T141" s="400"/>
    </row>
    <row r="142" spans="2:20">
      <c r="B142" s="265" t="s">
        <v>0</v>
      </c>
      <c r="C142" s="412" t="s">
        <v>198</v>
      </c>
      <c r="D142" s="412"/>
      <c r="E142" s="412" t="s">
        <v>199</v>
      </c>
      <c r="F142" s="412" t="s">
        <v>200</v>
      </c>
      <c r="G142" s="412"/>
      <c r="H142" s="412"/>
      <c r="I142" s="265" t="s">
        <v>201</v>
      </c>
      <c r="J142" s="412" t="s">
        <v>202</v>
      </c>
      <c r="K142" s="412"/>
      <c r="L142" s="412"/>
      <c r="M142" s="412"/>
      <c r="N142" s="412"/>
      <c r="O142" s="412" t="s">
        <v>203</v>
      </c>
      <c r="P142" s="412"/>
      <c r="Q142" s="412"/>
      <c r="R142" s="412"/>
      <c r="S142" s="412"/>
      <c r="T142" s="412"/>
    </row>
    <row r="143" spans="2:20" ht="51">
      <c r="B143" s="265" t="s">
        <v>245</v>
      </c>
      <c r="C143" s="412"/>
      <c r="D143" s="412"/>
      <c r="E143" s="412"/>
      <c r="F143" s="265" t="s">
        <v>204</v>
      </c>
      <c r="G143" s="265" t="s">
        <v>205</v>
      </c>
      <c r="H143" s="265" t="s">
        <v>206</v>
      </c>
      <c r="I143" s="265" t="s">
        <v>207</v>
      </c>
      <c r="J143" s="265" t="s">
        <v>208</v>
      </c>
      <c r="K143" s="265" t="s">
        <v>209</v>
      </c>
      <c r="L143" s="265" t="s">
        <v>210</v>
      </c>
      <c r="M143" s="265" t="s">
        <v>211</v>
      </c>
      <c r="N143" s="265" t="s">
        <v>212</v>
      </c>
      <c r="O143" s="265" t="s">
        <v>213</v>
      </c>
      <c r="P143" s="265" t="s">
        <v>214</v>
      </c>
      <c r="Q143" s="265" t="s">
        <v>215</v>
      </c>
      <c r="R143" s="265" t="s">
        <v>216</v>
      </c>
      <c r="S143" s="265" t="s">
        <v>217</v>
      </c>
      <c r="T143" s="265" t="s">
        <v>218</v>
      </c>
    </row>
    <row r="144" spans="2:20">
      <c r="B144" s="264">
        <v>1</v>
      </c>
      <c r="C144" s="407">
        <v>2</v>
      </c>
      <c r="D144" s="407"/>
      <c r="E144" s="264">
        <v>3</v>
      </c>
      <c r="F144" s="264">
        <v>4</v>
      </c>
      <c r="G144" s="264">
        <v>5</v>
      </c>
      <c r="H144" s="264">
        <v>6</v>
      </c>
      <c r="I144" s="264">
        <v>7</v>
      </c>
      <c r="J144" s="264">
        <v>8</v>
      </c>
      <c r="K144" s="264">
        <v>9</v>
      </c>
      <c r="L144" s="264">
        <v>10</v>
      </c>
      <c r="M144" s="264">
        <v>11</v>
      </c>
      <c r="N144" s="264">
        <v>12</v>
      </c>
      <c r="O144" s="264">
        <v>13</v>
      </c>
      <c r="P144" s="264">
        <v>14</v>
      </c>
      <c r="Q144" s="264">
        <v>15</v>
      </c>
      <c r="R144" s="264">
        <v>16</v>
      </c>
      <c r="S144" s="264">
        <v>17</v>
      </c>
      <c r="T144" s="264">
        <v>18</v>
      </c>
    </row>
    <row r="145" spans="2:20">
      <c r="B145" s="401" t="s">
        <v>246</v>
      </c>
      <c r="C145" s="401"/>
      <c r="D145" s="401"/>
      <c r="E145" s="401"/>
      <c r="F145" s="401"/>
      <c r="G145" s="401"/>
      <c r="H145" s="401"/>
      <c r="I145" s="401"/>
      <c r="J145" s="401"/>
      <c r="K145" s="401"/>
      <c r="L145" s="401"/>
      <c r="M145" s="401"/>
      <c r="N145" s="401"/>
      <c r="O145" s="401"/>
      <c r="P145" s="401"/>
      <c r="Q145" s="401"/>
      <c r="R145" s="401"/>
      <c r="S145" s="401"/>
      <c r="T145" s="401"/>
    </row>
    <row r="146" spans="2:20" ht="30.75" customHeight="1">
      <c r="B146" s="276">
        <v>338</v>
      </c>
      <c r="C146" s="408" t="s">
        <v>277</v>
      </c>
      <c r="D146" s="409"/>
      <c r="E146" s="278">
        <v>100</v>
      </c>
      <c r="F146" s="279">
        <v>0.4</v>
      </c>
      <c r="G146" s="279">
        <v>0.3</v>
      </c>
      <c r="H146" s="279">
        <v>10.3</v>
      </c>
      <c r="I146" s="276">
        <v>45.5</v>
      </c>
      <c r="J146" s="279">
        <v>0.04</v>
      </c>
      <c r="K146" s="279">
        <v>0.02</v>
      </c>
      <c r="L146" s="279">
        <v>5</v>
      </c>
      <c r="M146" s="279">
        <v>0.01</v>
      </c>
      <c r="N146" s="279">
        <v>0.2</v>
      </c>
      <c r="O146" s="279">
        <v>19</v>
      </c>
      <c r="P146" s="279">
        <v>11</v>
      </c>
      <c r="Q146" s="279">
        <v>0.03</v>
      </c>
      <c r="R146" s="279">
        <v>0</v>
      </c>
      <c r="S146" s="279">
        <v>12</v>
      </c>
      <c r="T146" s="279">
        <v>2.2999999999999998</v>
      </c>
    </row>
    <row r="147" spans="2:20" ht="27" customHeight="1">
      <c r="B147" s="275">
        <v>260</v>
      </c>
      <c r="C147" s="410" t="s">
        <v>232</v>
      </c>
      <c r="D147" s="411"/>
      <c r="E147" s="275">
        <v>90</v>
      </c>
      <c r="F147" s="275">
        <v>11.295</v>
      </c>
      <c r="G147" s="275">
        <v>11.691000000000001</v>
      </c>
      <c r="H147" s="275">
        <v>3.609</v>
      </c>
      <c r="I147" s="275">
        <v>164.25</v>
      </c>
      <c r="J147" s="275">
        <v>6.3E-2</v>
      </c>
      <c r="K147" s="275">
        <v>9.9000000000000005E-2</v>
      </c>
      <c r="L147" s="275">
        <v>4.5629999999999997</v>
      </c>
      <c r="M147" s="275">
        <v>1.341</v>
      </c>
      <c r="N147" s="275">
        <v>2.0249999999999999</v>
      </c>
      <c r="O147" s="275">
        <v>27.468</v>
      </c>
      <c r="P147" s="275">
        <v>107.271</v>
      </c>
      <c r="Q147" s="275"/>
      <c r="R147" s="275"/>
      <c r="S147" s="275">
        <v>21.626999999999999</v>
      </c>
      <c r="T147" s="275">
        <v>1.89</v>
      </c>
    </row>
    <row r="148" spans="2:20" ht="25.5" customHeight="1">
      <c r="B148" s="186">
        <v>203</v>
      </c>
      <c r="C148" s="430" t="s">
        <v>278</v>
      </c>
      <c r="D148" s="431"/>
      <c r="E148" s="186">
        <v>150</v>
      </c>
      <c r="F148" s="186">
        <v>5.52</v>
      </c>
      <c r="G148" s="186">
        <v>4.5199999999999996</v>
      </c>
      <c r="H148" s="186">
        <v>26.45</v>
      </c>
      <c r="I148" s="186">
        <v>168.6</v>
      </c>
      <c r="J148" s="186">
        <v>0.09</v>
      </c>
      <c r="K148" s="186">
        <v>0.03</v>
      </c>
      <c r="L148" s="186">
        <v>0</v>
      </c>
      <c r="M148" s="186">
        <v>0.03</v>
      </c>
      <c r="N148" s="186">
        <v>1.25</v>
      </c>
      <c r="O148" s="186">
        <v>13.28</v>
      </c>
      <c r="P148" s="186">
        <v>46.21</v>
      </c>
      <c r="Q148" s="186">
        <v>0.78</v>
      </c>
      <c r="R148" s="186">
        <v>2E-3</v>
      </c>
      <c r="S148" s="186">
        <v>8.4700000000000006</v>
      </c>
      <c r="T148" s="186">
        <v>0.86</v>
      </c>
    </row>
    <row r="149" spans="2:20" ht="18.75" customHeight="1">
      <c r="B149" s="277">
        <v>377</v>
      </c>
      <c r="C149" s="425" t="s">
        <v>149</v>
      </c>
      <c r="D149" s="426"/>
      <c r="E149" s="277" t="s">
        <v>151</v>
      </c>
      <c r="F149" s="277">
        <v>0.26</v>
      </c>
      <c r="G149" s="277">
        <v>0.06</v>
      </c>
      <c r="H149" s="277">
        <v>15.22</v>
      </c>
      <c r="I149" s="277">
        <v>62.5</v>
      </c>
      <c r="J149" s="277"/>
      <c r="K149" s="277">
        <v>0.01</v>
      </c>
      <c r="L149" s="277">
        <v>2.9</v>
      </c>
      <c r="M149" s="277">
        <v>0</v>
      </c>
      <c r="N149" s="277">
        <v>0.06</v>
      </c>
      <c r="O149" s="277">
        <v>8.0500000000000007</v>
      </c>
      <c r="P149" s="277">
        <v>9.7799999999999994</v>
      </c>
      <c r="Q149" s="277">
        <v>1.7000000000000001E-2</v>
      </c>
      <c r="R149" s="277">
        <v>0</v>
      </c>
      <c r="S149" s="277">
        <v>5.24</v>
      </c>
      <c r="T149" s="277">
        <v>0.87</v>
      </c>
    </row>
    <row r="150" spans="2:20" ht="19.5" customHeight="1">
      <c r="B150" s="277" t="s">
        <v>224</v>
      </c>
      <c r="C150" s="425" t="s">
        <v>161</v>
      </c>
      <c r="D150" s="426"/>
      <c r="E150" s="277">
        <v>40</v>
      </c>
      <c r="F150" s="277">
        <v>3.04</v>
      </c>
      <c r="G150" s="277">
        <v>0.32</v>
      </c>
      <c r="H150" s="277">
        <v>19.68</v>
      </c>
      <c r="I150" s="277">
        <v>93.8</v>
      </c>
      <c r="J150" s="277">
        <v>0.04</v>
      </c>
      <c r="K150" s="277">
        <v>0.01</v>
      </c>
      <c r="L150" s="277">
        <v>0.88</v>
      </c>
      <c r="M150" s="277">
        <v>0</v>
      </c>
      <c r="N150" s="277">
        <v>0.7</v>
      </c>
      <c r="O150" s="277">
        <v>8</v>
      </c>
      <c r="P150" s="277">
        <v>26</v>
      </c>
      <c r="Q150" s="277">
        <v>8.0000000000000002E-3</v>
      </c>
      <c r="R150" s="277">
        <v>3.0000000000000001E-3</v>
      </c>
      <c r="S150" s="277">
        <v>0</v>
      </c>
      <c r="T150" s="277">
        <v>0.44</v>
      </c>
    </row>
    <row r="151" spans="2:20" ht="18.75" customHeight="1">
      <c r="B151" s="277" t="s">
        <v>251</v>
      </c>
      <c r="C151" s="425"/>
      <c r="D151" s="426"/>
      <c r="E151" s="277">
        <v>584</v>
      </c>
      <c r="F151" s="277">
        <v>20.515000000000001</v>
      </c>
      <c r="G151" s="277">
        <v>16.891000000000002</v>
      </c>
      <c r="H151" s="277">
        <v>75.259</v>
      </c>
      <c r="I151" s="277">
        <v>534.65</v>
      </c>
      <c r="J151" s="277">
        <v>0.23300000000000001</v>
      </c>
      <c r="K151" s="277">
        <v>0.16900000000000004</v>
      </c>
      <c r="L151" s="277">
        <v>13.343</v>
      </c>
      <c r="M151" s="277">
        <v>1.381</v>
      </c>
      <c r="N151" s="277">
        <v>4.2350000000000003</v>
      </c>
      <c r="O151" s="277">
        <v>75.798000000000002</v>
      </c>
      <c r="P151" s="277">
        <v>200.261</v>
      </c>
      <c r="Q151" s="277">
        <v>0.83500000000000008</v>
      </c>
      <c r="R151" s="277">
        <v>5.0000000000000001E-3</v>
      </c>
      <c r="S151" s="277">
        <v>47.336999999999996</v>
      </c>
      <c r="T151" s="277">
        <v>6.36</v>
      </c>
    </row>
    <row r="152" spans="2:20" ht="15" customHeight="1">
      <c r="B152" s="432" t="s">
        <v>226</v>
      </c>
      <c r="C152" s="433"/>
      <c r="D152" s="434"/>
      <c r="E152" s="274"/>
      <c r="F152" s="182">
        <v>0.26642857142857146</v>
      </c>
      <c r="G152" s="182">
        <v>0.21381012658227849</v>
      </c>
      <c r="H152" s="182">
        <v>0.22465373134328359</v>
      </c>
      <c r="I152" s="182">
        <v>0.22751063829787233</v>
      </c>
      <c r="J152" s="182">
        <v>0.19416666666666668</v>
      </c>
      <c r="K152" s="182">
        <v>0.12071428571428575</v>
      </c>
      <c r="L152" s="182">
        <v>0.22238333333333332</v>
      </c>
      <c r="M152" s="182">
        <v>1.9728571428571431</v>
      </c>
      <c r="N152" s="182">
        <v>0.42350000000000004</v>
      </c>
      <c r="O152" s="182">
        <v>6.8907272727272734E-2</v>
      </c>
      <c r="P152" s="182">
        <v>0.18205545454545455</v>
      </c>
      <c r="Q152" s="182">
        <v>8.3500000000000005E-2</v>
      </c>
      <c r="R152" s="182">
        <v>4.9999999999999996E-2</v>
      </c>
      <c r="S152" s="182">
        <v>0.18934799999999999</v>
      </c>
      <c r="T152" s="182">
        <v>0.53</v>
      </c>
    </row>
    <row r="153" spans="2:20">
      <c r="B153" s="401" t="s">
        <v>227</v>
      </c>
      <c r="C153" s="401"/>
      <c r="D153" s="401"/>
      <c r="E153" s="401"/>
      <c r="F153" s="401"/>
      <c r="G153" s="401"/>
      <c r="H153" s="401"/>
      <c r="I153" s="401"/>
      <c r="J153" s="401"/>
      <c r="K153" s="401"/>
      <c r="L153" s="401"/>
      <c r="M153" s="401"/>
      <c r="N153" s="401"/>
      <c r="O153" s="401"/>
      <c r="P153" s="401"/>
      <c r="Q153" s="401"/>
      <c r="R153" s="401"/>
      <c r="S153" s="401"/>
      <c r="T153" s="401"/>
    </row>
    <row r="154" spans="2:20" ht="27" customHeight="1">
      <c r="B154" s="277">
        <v>115</v>
      </c>
      <c r="C154" s="417" t="s">
        <v>279</v>
      </c>
      <c r="D154" s="417"/>
      <c r="E154" s="277">
        <v>60</v>
      </c>
      <c r="F154" s="277">
        <v>1.1399999999999999</v>
      </c>
      <c r="G154" s="277">
        <v>5.34</v>
      </c>
      <c r="H154" s="277">
        <v>4.62</v>
      </c>
      <c r="I154" s="277">
        <v>71.400000000000006</v>
      </c>
      <c r="J154" s="277">
        <v>0.01</v>
      </c>
      <c r="K154" s="277">
        <v>0</v>
      </c>
      <c r="L154" s="277">
        <v>4.2</v>
      </c>
      <c r="M154" s="277">
        <v>0.01</v>
      </c>
      <c r="N154" s="277"/>
      <c r="O154" s="277">
        <v>24.6</v>
      </c>
      <c r="P154" s="277">
        <v>22.2</v>
      </c>
      <c r="Q154" s="277"/>
      <c r="R154" s="277">
        <v>0</v>
      </c>
      <c r="S154" s="277">
        <v>9</v>
      </c>
      <c r="T154" s="277">
        <v>0.42</v>
      </c>
    </row>
    <row r="155" spans="2:20" ht="27" customHeight="1">
      <c r="B155" s="277">
        <v>96</v>
      </c>
      <c r="C155" s="417" t="s">
        <v>280</v>
      </c>
      <c r="D155" s="417"/>
      <c r="E155" s="277">
        <v>200</v>
      </c>
      <c r="F155" s="277">
        <v>2.1</v>
      </c>
      <c r="G155" s="277">
        <v>4.9000000000000004</v>
      </c>
      <c r="H155" s="277">
        <v>13.6</v>
      </c>
      <c r="I155" s="277">
        <v>107</v>
      </c>
      <c r="J155" s="277">
        <v>0.1</v>
      </c>
      <c r="K155" s="277">
        <v>5.8999999999999997E-2</v>
      </c>
      <c r="L155" s="277">
        <v>12.8</v>
      </c>
      <c r="M155" s="277">
        <v>0.03</v>
      </c>
      <c r="N155" s="277">
        <v>0</v>
      </c>
      <c r="O155" s="277">
        <v>20.2</v>
      </c>
      <c r="P155" s="277">
        <v>56.8</v>
      </c>
      <c r="Q155" s="277">
        <v>0</v>
      </c>
      <c r="R155" s="277">
        <v>0</v>
      </c>
      <c r="S155" s="277">
        <v>21.4</v>
      </c>
      <c r="T155" s="277">
        <v>0.76</v>
      </c>
    </row>
    <row r="156" spans="2:20" ht="29.25" customHeight="1">
      <c r="B156" s="277">
        <v>266</v>
      </c>
      <c r="C156" s="417" t="s">
        <v>281</v>
      </c>
      <c r="D156" s="417"/>
      <c r="E156" s="277">
        <v>90</v>
      </c>
      <c r="F156" s="277">
        <v>16.7</v>
      </c>
      <c r="G156" s="277">
        <v>23.3</v>
      </c>
      <c r="H156" s="277">
        <v>4.3</v>
      </c>
      <c r="I156" s="277">
        <v>293.39999999999998</v>
      </c>
      <c r="J156" s="277">
        <v>0.2</v>
      </c>
      <c r="K156" s="277">
        <v>0.23599999999999999</v>
      </c>
      <c r="L156" s="277">
        <v>0.5</v>
      </c>
      <c r="M156" s="277">
        <v>0.05</v>
      </c>
      <c r="N156" s="277">
        <v>6.7500000000000004E-2</v>
      </c>
      <c r="O156" s="277">
        <v>54.5</v>
      </c>
      <c r="P156" s="277">
        <v>200.1</v>
      </c>
      <c r="Q156" s="277">
        <v>2.57</v>
      </c>
      <c r="R156" s="277">
        <v>4.4999999999999998E-2</v>
      </c>
      <c r="S156" s="277">
        <v>27.5</v>
      </c>
      <c r="T156" s="277">
        <v>2.17</v>
      </c>
    </row>
    <row r="157" spans="2:20" ht="15" customHeight="1">
      <c r="B157" s="277">
        <v>312</v>
      </c>
      <c r="C157" s="417" t="s">
        <v>256</v>
      </c>
      <c r="D157" s="417"/>
      <c r="E157" s="277">
        <v>150</v>
      </c>
      <c r="F157" s="277">
        <v>3.29</v>
      </c>
      <c r="G157" s="277">
        <v>7.06</v>
      </c>
      <c r="H157" s="277">
        <v>22.21</v>
      </c>
      <c r="I157" s="277">
        <v>165.54</v>
      </c>
      <c r="J157" s="277">
        <v>0.16</v>
      </c>
      <c r="K157" s="277">
        <v>0.13</v>
      </c>
      <c r="L157" s="277">
        <v>26.11</v>
      </c>
      <c r="M157" s="277">
        <v>0.08</v>
      </c>
      <c r="N157" s="277">
        <v>1.5</v>
      </c>
      <c r="O157" s="277">
        <v>42.54</v>
      </c>
      <c r="P157" s="277">
        <v>97.8</v>
      </c>
      <c r="Q157" s="277">
        <v>0.29899999999999999</v>
      </c>
      <c r="R157" s="277">
        <v>1E-3</v>
      </c>
      <c r="S157" s="277">
        <v>33.06</v>
      </c>
      <c r="T157" s="277">
        <v>1.19</v>
      </c>
    </row>
    <row r="158" spans="2:20" ht="15.75" customHeight="1">
      <c r="B158" s="277">
        <v>349</v>
      </c>
      <c r="C158" s="417" t="s">
        <v>239</v>
      </c>
      <c r="D158" s="417"/>
      <c r="E158" s="277">
        <v>200</v>
      </c>
      <c r="F158" s="277">
        <v>0.22</v>
      </c>
      <c r="G158" s="277"/>
      <c r="H158" s="277">
        <v>24.42</v>
      </c>
      <c r="I158" s="277">
        <v>98.56</v>
      </c>
      <c r="J158" s="277"/>
      <c r="K158" s="277"/>
      <c r="L158" s="277">
        <v>0.2</v>
      </c>
      <c r="M158" s="277"/>
      <c r="N158" s="277"/>
      <c r="O158" s="277">
        <v>22.6</v>
      </c>
      <c r="P158" s="277">
        <v>7.7</v>
      </c>
      <c r="Q158" s="277">
        <v>0</v>
      </c>
      <c r="R158" s="277">
        <v>0</v>
      </c>
      <c r="S158" s="277">
        <v>3</v>
      </c>
      <c r="T158" s="277">
        <v>0.66</v>
      </c>
    </row>
    <row r="159" spans="2:20" ht="19.5" customHeight="1">
      <c r="B159" s="277" t="s">
        <v>224</v>
      </c>
      <c r="C159" s="417" t="s">
        <v>235</v>
      </c>
      <c r="D159" s="417"/>
      <c r="E159" s="277">
        <v>40</v>
      </c>
      <c r="F159" s="277">
        <v>2.64</v>
      </c>
      <c r="G159" s="277">
        <v>0.48</v>
      </c>
      <c r="H159" s="277">
        <v>13.68</v>
      </c>
      <c r="I159" s="277">
        <v>69.599999999999994</v>
      </c>
      <c r="J159" s="277">
        <v>0.08</v>
      </c>
      <c r="K159" s="277">
        <v>0.04</v>
      </c>
      <c r="L159" s="277">
        <v>0</v>
      </c>
      <c r="M159" s="277">
        <v>0</v>
      </c>
      <c r="N159" s="277">
        <v>2.4</v>
      </c>
      <c r="O159" s="277">
        <v>14</v>
      </c>
      <c r="P159" s="277">
        <v>63.2</v>
      </c>
      <c r="Q159" s="277">
        <v>1.2</v>
      </c>
      <c r="R159" s="277">
        <v>1E-3</v>
      </c>
      <c r="S159" s="277">
        <v>9.4</v>
      </c>
      <c r="T159" s="277">
        <v>0.78</v>
      </c>
    </row>
    <row r="160" spans="2:20" ht="15" customHeight="1">
      <c r="B160" s="277" t="s">
        <v>224</v>
      </c>
      <c r="C160" s="417" t="s">
        <v>117</v>
      </c>
      <c r="D160" s="417"/>
      <c r="E160" s="277">
        <v>30</v>
      </c>
      <c r="F160" s="277">
        <v>1.52</v>
      </c>
      <c r="G160" s="277">
        <v>0.16</v>
      </c>
      <c r="H160" s="277">
        <v>9.84</v>
      </c>
      <c r="I160" s="277">
        <v>46.9</v>
      </c>
      <c r="J160" s="277">
        <v>0.02</v>
      </c>
      <c r="K160" s="277">
        <v>0.01</v>
      </c>
      <c r="L160" s="277">
        <v>0.44</v>
      </c>
      <c r="M160" s="277">
        <v>0</v>
      </c>
      <c r="N160" s="277">
        <v>0.7</v>
      </c>
      <c r="O160" s="277">
        <v>4</v>
      </c>
      <c r="P160" s="277">
        <v>13</v>
      </c>
      <c r="Q160" s="277">
        <v>8.0000000000000002E-3</v>
      </c>
      <c r="R160" s="277">
        <v>1E-3</v>
      </c>
      <c r="S160" s="277">
        <v>0</v>
      </c>
      <c r="T160" s="277">
        <v>0.22</v>
      </c>
    </row>
    <row r="161" spans="2:20" ht="29.25" customHeight="1">
      <c r="B161" s="401" t="s">
        <v>236</v>
      </c>
      <c r="C161" s="401"/>
      <c r="D161" s="401"/>
      <c r="E161" s="274">
        <f>SUM(E154:E160)</f>
        <v>770</v>
      </c>
      <c r="F161" s="274">
        <f>SUM(F154:F160)</f>
        <v>27.609999999999996</v>
      </c>
      <c r="G161" s="274">
        <f t="shared" ref="G161:T161" si="20">SUM(G154:G160)</f>
        <v>41.239999999999995</v>
      </c>
      <c r="H161" s="274">
        <f t="shared" si="20"/>
        <v>92.670000000000016</v>
      </c>
      <c r="I161" s="274">
        <f t="shared" si="20"/>
        <v>852.39999999999986</v>
      </c>
      <c r="J161" s="274">
        <f t="shared" si="20"/>
        <v>0.56999999999999995</v>
      </c>
      <c r="K161" s="274">
        <f t="shared" si="20"/>
        <v>0.47499999999999998</v>
      </c>
      <c r="L161" s="274">
        <f t="shared" si="20"/>
        <v>44.25</v>
      </c>
      <c r="M161" s="274">
        <f t="shared" si="20"/>
        <v>0.16999999999999998</v>
      </c>
      <c r="N161" s="274">
        <f t="shared" si="20"/>
        <v>4.6674999999999995</v>
      </c>
      <c r="O161" s="274">
        <f t="shared" si="20"/>
        <v>182.44</v>
      </c>
      <c r="P161" s="274">
        <f t="shared" si="20"/>
        <v>460.8</v>
      </c>
      <c r="Q161" s="274">
        <f t="shared" si="20"/>
        <v>4.077</v>
      </c>
      <c r="R161" s="274">
        <f t="shared" si="20"/>
        <v>4.8000000000000001E-2</v>
      </c>
      <c r="S161" s="274">
        <f t="shared" si="20"/>
        <v>103.36000000000001</v>
      </c>
      <c r="T161" s="274">
        <f t="shared" si="20"/>
        <v>6.1999999999999993</v>
      </c>
    </row>
    <row r="162" spans="2:20" ht="15" customHeight="1">
      <c r="B162" s="401" t="s">
        <v>226</v>
      </c>
      <c r="C162" s="401"/>
      <c r="D162" s="401"/>
      <c r="E162" s="401"/>
      <c r="F162" s="182">
        <f t="shared" ref="F162:T162" si="21">F161/F169</f>
        <v>0.35857142857142854</v>
      </c>
      <c r="G162" s="182">
        <f t="shared" si="21"/>
        <v>0.52202531645569616</v>
      </c>
      <c r="H162" s="182">
        <f t="shared" si="21"/>
        <v>0.27662686567164185</v>
      </c>
      <c r="I162" s="182">
        <f t="shared" si="21"/>
        <v>0.36272340425531907</v>
      </c>
      <c r="J162" s="182">
        <f t="shared" si="21"/>
        <v>0.47499999999999998</v>
      </c>
      <c r="K162" s="182">
        <f t="shared" si="21"/>
        <v>0.3392857142857143</v>
      </c>
      <c r="L162" s="182">
        <f t="shared" si="21"/>
        <v>0.73750000000000004</v>
      </c>
      <c r="M162" s="182">
        <f t="shared" si="21"/>
        <v>0.24285714285714285</v>
      </c>
      <c r="N162" s="182">
        <f t="shared" si="21"/>
        <v>0.46674999999999994</v>
      </c>
      <c r="O162" s="182">
        <f t="shared" si="21"/>
        <v>0.16585454545454545</v>
      </c>
      <c r="P162" s="182">
        <f t="shared" si="21"/>
        <v>0.4189090909090909</v>
      </c>
      <c r="Q162" s="182">
        <f t="shared" si="21"/>
        <v>0.40770000000000001</v>
      </c>
      <c r="R162" s="182">
        <f t="shared" si="21"/>
        <v>0.48</v>
      </c>
      <c r="S162" s="182">
        <f t="shared" si="21"/>
        <v>0.41344000000000003</v>
      </c>
      <c r="T162" s="182">
        <f t="shared" si="21"/>
        <v>0.51666666666666661</v>
      </c>
    </row>
    <row r="163" spans="2:20">
      <c r="B163" s="401" t="s">
        <v>237</v>
      </c>
      <c r="C163" s="401"/>
      <c r="D163" s="401"/>
      <c r="E163" s="401"/>
      <c r="F163" s="401"/>
      <c r="G163" s="401"/>
      <c r="H163" s="401"/>
      <c r="I163" s="401"/>
      <c r="J163" s="401"/>
      <c r="K163" s="401"/>
      <c r="L163" s="401"/>
      <c r="M163" s="401"/>
      <c r="N163" s="401"/>
      <c r="O163" s="401"/>
      <c r="P163" s="401"/>
      <c r="Q163" s="401"/>
      <c r="R163" s="401"/>
      <c r="S163" s="401"/>
      <c r="T163" s="401"/>
    </row>
    <row r="164" spans="2:20" ht="15" customHeight="1">
      <c r="B164" s="278" t="s">
        <v>224</v>
      </c>
      <c r="C164" s="406" t="s">
        <v>282</v>
      </c>
      <c r="D164" s="406"/>
      <c r="E164" s="278">
        <v>65</v>
      </c>
      <c r="F164" s="278">
        <v>4.16</v>
      </c>
      <c r="G164" s="278">
        <v>8.14</v>
      </c>
      <c r="H164" s="278">
        <v>33.799999999999997</v>
      </c>
      <c r="I164" s="278">
        <v>225.34</v>
      </c>
      <c r="J164" s="278">
        <v>0.06</v>
      </c>
      <c r="K164" s="278">
        <v>0.05</v>
      </c>
      <c r="L164" s="278">
        <v>0</v>
      </c>
      <c r="M164" s="278">
        <v>0.06</v>
      </c>
      <c r="N164" s="278"/>
      <c r="O164" s="278">
        <v>11.26</v>
      </c>
      <c r="P164" s="278">
        <v>0</v>
      </c>
      <c r="Q164" s="278"/>
      <c r="R164" s="278">
        <v>0</v>
      </c>
      <c r="S164" s="278">
        <v>0</v>
      </c>
      <c r="T164" s="278">
        <v>0.6</v>
      </c>
    </row>
    <row r="165" spans="2:20" ht="27.75" customHeight="1">
      <c r="B165" s="277">
        <v>389</v>
      </c>
      <c r="C165" s="417" t="s">
        <v>283</v>
      </c>
      <c r="D165" s="417"/>
      <c r="E165" s="277">
        <v>200</v>
      </c>
      <c r="F165" s="277">
        <v>1</v>
      </c>
      <c r="G165" s="277">
        <v>0.2</v>
      </c>
      <c r="H165" s="277">
        <v>20.2</v>
      </c>
      <c r="I165" s="277">
        <v>87</v>
      </c>
      <c r="J165" s="277">
        <v>0</v>
      </c>
      <c r="K165" s="277">
        <v>0.08</v>
      </c>
      <c r="L165" s="277">
        <v>4</v>
      </c>
      <c r="M165" s="277">
        <v>0</v>
      </c>
      <c r="N165" s="277">
        <v>0</v>
      </c>
      <c r="O165" s="277">
        <v>31.1</v>
      </c>
      <c r="P165" s="277">
        <v>18</v>
      </c>
      <c r="Q165" s="277">
        <v>0</v>
      </c>
      <c r="R165" s="277">
        <v>0</v>
      </c>
      <c r="S165" s="277">
        <v>8</v>
      </c>
      <c r="T165" s="277">
        <v>0.72</v>
      </c>
    </row>
    <row r="166" spans="2:20" ht="15" customHeight="1">
      <c r="B166" s="413" t="s">
        <v>240</v>
      </c>
      <c r="C166" s="414"/>
      <c r="D166" s="415"/>
      <c r="E166" s="273">
        <f>E164+E165</f>
        <v>265</v>
      </c>
      <c r="F166" s="273">
        <f>F164+F165</f>
        <v>5.16</v>
      </c>
      <c r="G166" s="273">
        <f t="shared" ref="G166:T166" si="22">G164+G165</f>
        <v>8.34</v>
      </c>
      <c r="H166" s="273">
        <f t="shared" si="22"/>
        <v>54</v>
      </c>
      <c r="I166" s="273">
        <f t="shared" si="22"/>
        <v>312.34000000000003</v>
      </c>
      <c r="J166" s="273">
        <f t="shared" si="22"/>
        <v>0.06</v>
      </c>
      <c r="K166" s="273">
        <f t="shared" si="22"/>
        <v>0.13</v>
      </c>
      <c r="L166" s="273">
        <f t="shared" si="22"/>
        <v>4</v>
      </c>
      <c r="M166" s="273">
        <f t="shared" si="22"/>
        <v>0.06</v>
      </c>
      <c r="N166" s="273">
        <f t="shared" si="22"/>
        <v>0</v>
      </c>
      <c r="O166" s="273">
        <f t="shared" si="22"/>
        <v>42.36</v>
      </c>
      <c r="P166" s="273">
        <f t="shared" si="22"/>
        <v>18</v>
      </c>
      <c r="Q166" s="273">
        <f t="shared" si="22"/>
        <v>0</v>
      </c>
      <c r="R166" s="273">
        <f t="shared" si="22"/>
        <v>0</v>
      </c>
      <c r="S166" s="273">
        <f t="shared" si="22"/>
        <v>8</v>
      </c>
      <c r="T166" s="273">
        <f t="shared" si="22"/>
        <v>1.3199999999999998</v>
      </c>
    </row>
    <row r="167" spans="2:20" ht="15" customHeight="1">
      <c r="B167" s="405" t="s">
        <v>226</v>
      </c>
      <c r="C167" s="405"/>
      <c r="D167" s="405"/>
      <c r="E167" s="405"/>
      <c r="F167" s="174">
        <f>F166/F169</f>
        <v>6.701298701298701E-2</v>
      </c>
      <c r="G167" s="174">
        <f t="shared" ref="G167:T167" si="23">G166/G169</f>
        <v>0.10556962025316456</v>
      </c>
      <c r="H167" s="174">
        <f t="shared" si="23"/>
        <v>0.16119402985074627</v>
      </c>
      <c r="I167" s="174">
        <f t="shared" si="23"/>
        <v>0.13291063829787236</v>
      </c>
      <c r="J167" s="174">
        <f t="shared" si="23"/>
        <v>0.05</v>
      </c>
      <c r="K167" s="174">
        <f t="shared" si="23"/>
        <v>9.285714285714286E-2</v>
      </c>
      <c r="L167" s="174">
        <f t="shared" si="23"/>
        <v>6.6666666666666666E-2</v>
      </c>
      <c r="M167" s="174">
        <f t="shared" si="23"/>
        <v>8.5714285714285715E-2</v>
      </c>
      <c r="N167" s="174">
        <f t="shared" si="23"/>
        <v>0</v>
      </c>
      <c r="O167" s="174">
        <f t="shared" si="23"/>
        <v>3.8509090909090909E-2</v>
      </c>
      <c r="P167" s="174">
        <f t="shared" si="23"/>
        <v>1.6363636363636365E-2</v>
      </c>
      <c r="Q167" s="174">
        <f t="shared" si="23"/>
        <v>0</v>
      </c>
      <c r="R167" s="174">
        <f t="shared" si="23"/>
        <v>0</v>
      </c>
      <c r="S167" s="174">
        <f t="shared" si="23"/>
        <v>3.2000000000000001E-2</v>
      </c>
      <c r="T167" s="174">
        <f t="shared" si="23"/>
        <v>0.10999999999999999</v>
      </c>
    </row>
    <row r="168" spans="2:20" ht="15" customHeight="1">
      <c r="B168" s="401" t="s">
        <v>241</v>
      </c>
      <c r="C168" s="401"/>
      <c r="D168" s="401"/>
      <c r="E168" s="401"/>
      <c r="F168" s="274">
        <f>F166+F161+F151</f>
        <v>53.284999999999997</v>
      </c>
      <c r="G168" s="274">
        <f t="shared" ref="G168:T168" si="24">G166+G161+G151</f>
        <v>66.471000000000004</v>
      </c>
      <c r="H168" s="274">
        <f t="shared" si="24"/>
        <v>221.92900000000003</v>
      </c>
      <c r="I168" s="274">
        <f t="shared" si="24"/>
        <v>1699.3899999999999</v>
      </c>
      <c r="J168" s="274">
        <f t="shared" si="24"/>
        <v>0.86299999999999988</v>
      </c>
      <c r="K168" s="274">
        <f t="shared" si="24"/>
        <v>0.77400000000000002</v>
      </c>
      <c r="L168" s="274">
        <f t="shared" si="24"/>
        <v>61.593000000000004</v>
      </c>
      <c r="M168" s="274">
        <f t="shared" si="24"/>
        <v>1.611</v>
      </c>
      <c r="N168" s="274">
        <f t="shared" si="24"/>
        <v>8.9024999999999999</v>
      </c>
      <c r="O168" s="274">
        <f t="shared" si="24"/>
        <v>300.59800000000001</v>
      </c>
      <c r="P168" s="274">
        <f t="shared" si="24"/>
        <v>679.06100000000004</v>
      </c>
      <c r="Q168" s="274">
        <f t="shared" si="24"/>
        <v>4.9119999999999999</v>
      </c>
      <c r="R168" s="274">
        <f t="shared" si="24"/>
        <v>5.2999999999999999E-2</v>
      </c>
      <c r="S168" s="274">
        <f t="shared" si="24"/>
        <v>158.697</v>
      </c>
      <c r="T168" s="274">
        <f t="shared" si="24"/>
        <v>13.879999999999999</v>
      </c>
    </row>
    <row r="169" spans="2:20" ht="15" customHeight="1">
      <c r="B169" s="401" t="s">
        <v>242</v>
      </c>
      <c r="C169" s="401"/>
      <c r="D169" s="401"/>
      <c r="E169" s="401"/>
      <c r="F169" s="277">
        <v>77</v>
      </c>
      <c r="G169" s="277">
        <v>79</v>
      </c>
      <c r="H169" s="277">
        <v>335</v>
      </c>
      <c r="I169" s="277">
        <v>2350</v>
      </c>
      <c r="J169" s="277">
        <v>1.2</v>
      </c>
      <c r="K169" s="277">
        <v>1.4</v>
      </c>
      <c r="L169" s="277">
        <v>60</v>
      </c>
      <c r="M169" s="277">
        <v>0.7</v>
      </c>
      <c r="N169" s="277">
        <v>10</v>
      </c>
      <c r="O169" s="277">
        <v>1100</v>
      </c>
      <c r="P169" s="277">
        <v>1100</v>
      </c>
      <c r="Q169" s="277">
        <v>10</v>
      </c>
      <c r="R169" s="277">
        <v>0.1</v>
      </c>
      <c r="S169" s="277">
        <v>250</v>
      </c>
      <c r="T169" s="277">
        <v>12</v>
      </c>
    </row>
    <row r="170" spans="2:20" ht="15" customHeight="1">
      <c r="B170" s="401" t="s">
        <v>226</v>
      </c>
      <c r="C170" s="401"/>
      <c r="D170" s="401"/>
      <c r="E170" s="401"/>
      <c r="F170" s="182">
        <f>F168/F169</f>
        <v>0.69201298701298697</v>
      </c>
      <c r="G170" s="182">
        <f t="shared" ref="G170:T170" si="25">G168/G169</f>
        <v>0.84140506329113929</v>
      </c>
      <c r="H170" s="182">
        <f t="shared" si="25"/>
        <v>0.66247462686567171</v>
      </c>
      <c r="I170" s="182">
        <f t="shared" si="25"/>
        <v>0.72314468085106376</v>
      </c>
      <c r="J170" s="182">
        <f t="shared" si="25"/>
        <v>0.71916666666666662</v>
      </c>
      <c r="K170" s="182">
        <f t="shared" si="25"/>
        <v>0.55285714285714294</v>
      </c>
      <c r="L170" s="182">
        <f t="shared" si="25"/>
        <v>1.0265500000000001</v>
      </c>
      <c r="M170" s="182">
        <f t="shared" si="25"/>
        <v>2.3014285714285716</v>
      </c>
      <c r="N170" s="182">
        <f t="shared" si="25"/>
        <v>0.89024999999999999</v>
      </c>
      <c r="O170" s="182">
        <f t="shared" si="25"/>
        <v>0.27327090909090912</v>
      </c>
      <c r="P170" s="182">
        <f t="shared" si="25"/>
        <v>0.61732818181818183</v>
      </c>
      <c r="Q170" s="182">
        <f t="shared" si="25"/>
        <v>0.49119999999999997</v>
      </c>
      <c r="R170" s="182">
        <f t="shared" si="25"/>
        <v>0.52999999999999992</v>
      </c>
      <c r="S170" s="182">
        <f t="shared" si="25"/>
        <v>0.63478800000000002</v>
      </c>
      <c r="T170" s="182">
        <f t="shared" si="25"/>
        <v>1.1566666666666665</v>
      </c>
    </row>
    <row r="171" spans="2:20">
      <c r="B171" s="405" t="s">
        <v>295</v>
      </c>
      <c r="C171" s="405"/>
      <c r="D171" s="405"/>
      <c r="E171" s="405"/>
      <c r="F171" s="267">
        <f t="shared" ref="F171:T171" si="26">(F14+F49+F84+F117+F152)/5</f>
        <v>11.223285714285714</v>
      </c>
      <c r="G171" s="267">
        <f t="shared" si="26"/>
        <v>7.6307620253164554</v>
      </c>
      <c r="H171" s="267">
        <f t="shared" si="26"/>
        <v>35.916930746268655</v>
      </c>
      <c r="I171" s="267">
        <f t="shared" si="26"/>
        <v>256.81750212765962</v>
      </c>
      <c r="J171" s="267">
        <f t="shared" si="26"/>
        <v>0.14863333333333334</v>
      </c>
      <c r="K171" s="267">
        <f t="shared" si="26"/>
        <v>0.16934285714285718</v>
      </c>
      <c r="L171" s="267">
        <f t="shared" si="26"/>
        <v>3.6904766666666666</v>
      </c>
      <c r="M171" s="267">
        <f t="shared" si="26"/>
        <v>0.44119142857142862</v>
      </c>
      <c r="N171" s="267">
        <f t="shared" si="26"/>
        <v>0.92310000000000003</v>
      </c>
      <c r="O171" s="267">
        <f t="shared" si="26"/>
        <v>93.395781454545443</v>
      </c>
      <c r="P171" s="267">
        <f t="shared" si="26"/>
        <v>138.37441109090909</v>
      </c>
      <c r="Q171" s="267">
        <f t="shared" si="26"/>
        <v>0.79689999999999994</v>
      </c>
      <c r="R171" s="267">
        <f t="shared" si="26"/>
        <v>2.2599999999999999E-2</v>
      </c>
      <c r="S171" s="267">
        <f t="shared" si="26"/>
        <v>30.927869600000001</v>
      </c>
      <c r="T171" s="267">
        <f t="shared" si="26"/>
        <v>1.5180000000000002</v>
      </c>
    </row>
    <row r="172" spans="2:20">
      <c r="B172" s="405" t="s">
        <v>242</v>
      </c>
      <c r="C172" s="405"/>
      <c r="D172" s="405"/>
      <c r="E172" s="405"/>
      <c r="F172" s="266">
        <v>77</v>
      </c>
      <c r="G172" s="266">
        <v>79</v>
      </c>
      <c r="H172" s="266">
        <v>335</v>
      </c>
      <c r="I172" s="266">
        <v>2350</v>
      </c>
      <c r="J172" s="266">
        <v>1.2</v>
      </c>
      <c r="K172" s="266">
        <v>1.4</v>
      </c>
      <c r="L172" s="266">
        <v>60</v>
      </c>
      <c r="M172" s="266">
        <v>0.7</v>
      </c>
      <c r="N172" s="266">
        <v>10</v>
      </c>
      <c r="O172" s="266">
        <v>1100</v>
      </c>
      <c r="P172" s="266">
        <v>1100</v>
      </c>
      <c r="Q172" s="266">
        <v>10</v>
      </c>
      <c r="R172" s="266">
        <v>0.1</v>
      </c>
      <c r="S172" s="266">
        <v>250</v>
      </c>
      <c r="T172" s="266">
        <v>12</v>
      </c>
    </row>
    <row r="173" spans="2:20">
      <c r="B173" s="405" t="s">
        <v>226</v>
      </c>
      <c r="C173" s="405"/>
      <c r="D173" s="405"/>
      <c r="E173" s="405"/>
      <c r="F173" s="182">
        <f>F171/F172</f>
        <v>0.14575695732838589</v>
      </c>
      <c r="G173" s="182">
        <f t="shared" ref="G173:T173" si="27">G171/G172</f>
        <v>9.6591924371094373E-2</v>
      </c>
      <c r="H173" s="182">
        <f t="shared" si="27"/>
        <v>0.10721471864557808</v>
      </c>
      <c r="I173" s="182">
        <f t="shared" si="27"/>
        <v>0.10928404345857856</v>
      </c>
      <c r="J173" s="182">
        <f t="shared" si="27"/>
        <v>0.12386111111111112</v>
      </c>
      <c r="K173" s="182">
        <f t="shared" si="27"/>
        <v>0.12095918367346943</v>
      </c>
      <c r="L173" s="182">
        <f t="shared" si="27"/>
        <v>6.1507944444444441E-2</v>
      </c>
      <c r="M173" s="182">
        <f t="shared" si="27"/>
        <v>0.63027346938775519</v>
      </c>
      <c r="N173" s="182">
        <f t="shared" si="27"/>
        <v>9.2310000000000003E-2</v>
      </c>
      <c r="O173" s="182">
        <f t="shared" si="27"/>
        <v>8.4905255867768578E-2</v>
      </c>
      <c r="P173" s="182">
        <f t="shared" si="27"/>
        <v>0.12579491917355373</v>
      </c>
      <c r="Q173" s="182">
        <f t="shared" si="27"/>
        <v>7.9689999999999997E-2</v>
      </c>
      <c r="R173" s="182">
        <f t="shared" si="27"/>
        <v>0.22599999999999998</v>
      </c>
      <c r="S173" s="182">
        <f t="shared" si="27"/>
        <v>0.12371147840000001</v>
      </c>
      <c r="T173" s="182">
        <f t="shared" si="27"/>
        <v>0.12650000000000003</v>
      </c>
    </row>
    <row r="174" spans="2:20">
      <c r="B174" s="405" t="s">
        <v>296</v>
      </c>
      <c r="C174" s="405"/>
      <c r="D174" s="405"/>
      <c r="E174" s="405"/>
      <c r="F174" s="267">
        <f t="shared" ref="F174:T174" si="28">(F26+F58+F94+F128+F161)/5</f>
        <v>17.155389610389612</v>
      </c>
      <c r="G174" s="267">
        <f t="shared" si="28"/>
        <v>18.574053164556961</v>
      </c>
      <c r="H174" s="267">
        <f t="shared" si="28"/>
        <v>66.564280000000011</v>
      </c>
      <c r="I174" s="267">
        <f t="shared" si="28"/>
        <v>501.96350127659571</v>
      </c>
      <c r="J174" s="267">
        <f t="shared" si="28"/>
        <v>0.48616666666666675</v>
      </c>
      <c r="K174" s="267">
        <f t="shared" si="28"/>
        <v>0.38657142857142857</v>
      </c>
      <c r="L174" s="267">
        <f t="shared" si="28"/>
        <v>20.999543333333332</v>
      </c>
      <c r="M174" s="267">
        <f t="shared" si="28"/>
        <v>0.64162857142857144</v>
      </c>
      <c r="N174" s="267">
        <f t="shared" si="28"/>
        <v>2.8890000000000002</v>
      </c>
      <c r="O174" s="267">
        <f t="shared" si="28"/>
        <v>94.211479636363634</v>
      </c>
      <c r="P174" s="267">
        <f t="shared" si="28"/>
        <v>222.26978927272725</v>
      </c>
      <c r="Q174" s="267">
        <f t="shared" si="28"/>
        <v>1.8017600000000003</v>
      </c>
      <c r="R174" s="267">
        <f t="shared" si="28"/>
        <v>3.3999999999999996E-2</v>
      </c>
      <c r="S174" s="267">
        <f t="shared" si="28"/>
        <v>72.4489576</v>
      </c>
      <c r="T174" s="267">
        <f t="shared" si="28"/>
        <v>4.0823333333333327</v>
      </c>
    </row>
    <row r="175" spans="2:20">
      <c r="B175" s="405" t="s">
        <v>242</v>
      </c>
      <c r="C175" s="405"/>
      <c r="D175" s="405"/>
      <c r="E175" s="405"/>
      <c r="F175" s="266">
        <v>77</v>
      </c>
      <c r="G175" s="266">
        <v>79</v>
      </c>
      <c r="H175" s="266">
        <v>335</v>
      </c>
      <c r="I175" s="266">
        <v>2350</v>
      </c>
      <c r="J175" s="266">
        <v>1.2</v>
      </c>
      <c r="K175" s="266">
        <v>1.4</v>
      </c>
      <c r="L175" s="266">
        <v>60</v>
      </c>
      <c r="M175" s="266">
        <v>0.7</v>
      </c>
      <c r="N175" s="266">
        <v>10</v>
      </c>
      <c r="O175" s="266">
        <v>1100</v>
      </c>
      <c r="P175" s="266">
        <v>1100</v>
      </c>
      <c r="Q175" s="266">
        <v>10</v>
      </c>
      <c r="R175" s="266">
        <v>0.1</v>
      </c>
      <c r="S175" s="266">
        <v>250</v>
      </c>
      <c r="T175" s="266">
        <v>12</v>
      </c>
    </row>
    <row r="176" spans="2:20">
      <c r="B176" s="405" t="s">
        <v>226</v>
      </c>
      <c r="C176" s="405"/>
      <c r="D176" s="405"/>
      <c r="E176" s="405"/>
      <c r="F176" s="182">
        <f>F174/F175</f>
        <v>0.22279726766739755</v>
      </c>
      <c r="G176" s="182">
        <f t="shared" ref="G176:T176" si="29">G174/G175</f>
        <v>0.23511459701970835</v>
      </c>
      <c r="H176" s="182">
        <f t="shared" si="29"/>
        <v>0.19869934328358213</v>
      </c>
      <c r="I176" s="182">
        <f t="shared" si="29"/>
        <v>0.21360148990493436</v>
      </c>
      <c r="J176" s="182">
        <f t="shared" si="29"/>
        <v>0.40513888888888899</v>
      </c>
      <c r="K176" s="182">
        <f t="shared" si="29"/>
        <v>0.27612244897959187</v>
      </c>
      <c r="L176" s="182">
        <f t="shared" si="29"/>
        <v>0.34999238888888884</v>
      </c>
      <c r="M176" s="182">
        <f t="shared" si="29"/>
        <v>0.91661224489795923</v>
      </c>
      <c r="N176" s="182">
        <f t="shared" si="29"/>
        <v>0.28890000000000005</v>
      </c>
      <c r="O176" s="182">
        <f t="shared" si="29"/>
        <v>8.5646799669421486E-2</v>
      </c>
      <c r="P176" s="182">
        <f t="shared" si="29"/>
        <v>0.20206344479338842</v>
      </c>
      <c r="Q176" s="182">
        <f t="shared" si="29"/>
        <v>0.18017600000000003</v>
      </c>
      <c r="R176" s="182">
        <f t="shared" si="29"/>
        <v>0.33999999999999991</v>
      </c>
      <c r="S176" s="182">
        <f t="shared" si="29"/>
        <v>0.28979583040000001</v>
      </c>
      <c r="T176" s="182">
        <f t="shared" si="29"/>
        <v>0.34019444444444441</v>
      </c>
    </row>
    <row r="177" spans="2:20">
      <c r="B177" s="405" t="s">
        <v>297</v>
      </c>
      <c r="C177" s="405"/>
      <c r="D177" s="405"/>
      <c r="E177" s="405"/>
      <c r="F177" s="187">
        <f t="shared" ref="F177:T177" si="30">(F30+F64+F99+F133+F166)/5</f>
        <v>9.2379999999999995</v>
      </c>
      <c r="G177" s="187">
        <f t="shared" si="30"/>
        <v>7.330000000000001</v>
      </c>
      <c r="H177" s="187">
        <f t="shared" si="30"/>
        <v>63.372</v>
      </c>
      <c r="I177" s="187">
        <f t="shared" si="30"/>
        <v>356.19800000000004</v>
      </c>
      <c r="J177" s="187">
        <f t="shared" si="30"/>
        <v>0.1</v>
      </c>
      <c r="K177" s="187">
        <f t="shared" si="30"/>
        <v>0.14400000000000002</v>
      </c>
      <c r="L177" s="187">
        <f t="shared" si="30"/>
        <v>1.58</v>
      </c>
      <c r="M177" s="187">
        <f t="shared" si="30"/>
        <v>0.1</v>
      </c>
      <c r="N177" s="187">
        <f t="shared" si="30"/>
        <v>1.2199999999999999E-2</v>
      </c>
      <c r="O177" s="187">
        <f t="shared" si="30"/>
        <v>88.224000000000004</v>
      </c>
      <c r="P177" s="187">
        <f t="shared" si="30"/>
        <v>83.073999999999998</v>
      </c>
      <c r="Q177" s="187">
        <f t="shared" si="30"/>
        <v>8.4000000000000005E-2</v>
      </c>
      <c r="R177" s="187">
        <f t="shared" si="30"/>
        <v>2.0000000000000001E-4</v>
      </c>
      <c r="S177" s="187">
        <f t="shared" si="30"/>
        <v>21.898</v>
      </c>
      <c r="T177" s="187">
        <f t="shared" si="30"/>
        <v>1.4259999999999997</v>
      </c>
    </row>
    <row r="178" spans="2:20">
      <c r="B178" s="405" t="s">
        <v>242</v>
      </c>
      <c r="C178" s="405"/>
      <c r="D178" s="405"/>
      <c r="E178" s="405"/>
      <c r="F178" s="266">
        <v>77</v>
      </c>
      <c r="G178" s="266">
        <v>79</v>
      </c>
      <c r="H178" s="266">
        <v>335</v>
      </c>
      <c r="I178" s="266">
        <v>2350</v>
      </c>
      <c r="J178" s="266">
        <v>1.2</v>
      </c>
      <c r="K178" s="266">
        <v>1.4</v>
      </c>
      <c r="L178" s="266">
        <v>60</v>
      </c>
      <c r="M178" s="266">
        <v>0.7</v>
      </c>
      <c r="N178" s="266">
        <v>10</v>
      </c>
      <c r="O178" s="266">
        <v>1100</v>
      </c>
      <c r="P178" s="266">
        <v>1100</v>
      </c>
      <c r="Q178" s="266">
        <v>10</v>
      </c>
      <c r="R178" s="266">
        <v>0.1</v>
      </c>
      <c r="S178" s="266">
        <v>250</v>
      </c>
      <c r="T178" s="266">
        <v>12</v>
      </c>
    </row>
    <row r="179" spans="2:20">
      <c r="B179" s="405" t="s">
        <v>226</v>
      </c>
      <c r="C179" s="405"/>
      <c r="D179" s="405"/>
      <c r="E179" s="405"/>
      <c r="F179" s="182">
        <f>F177/F178</f>
        <v>0.11997402597402597</v>
      </c>
      <c r="G179" s="182">
        <f t="shared" ref="G179:T179" si="31">G177/G178</f>
        <v>9.2784810126582296E-2</v>
      </c>
      <c r="H179" s="182">
        <f t="shared" si="31"/>
        <v>0.18917014925373135</v>
      </c>
      <c r="I179" s="182">
        <f t="shared" si="31"/>
        <v>0.15157361702127661</v>
      </c>
      <c r="J179" s="182">
        <f t="shared" si="31"/>
        <v>8.3333333333333343E-2</v>
      </c>
      <c r="K179" s="182">
        <f t="shared" si="31"/>
        <v>0.10285714285714287</v>
      </c>
      <c r="L179" s="182">
        <f t="shared" si="31"/>
        <v>2.6333333333333334E-2</v>
      </c>
      <c r="M179" s="182">
        <f t="shared" si="31"/>
        <v>0.14285714285714288</v>
      </c>
      <c r="N179" s="182">
        <f t="shared" si="31"/>
        <v>1.2199999999999999E-3</v>
      </c>
      <c r="O179" s="182">
        <f t="shared" si="31"/>
        <v>8.0203636363636366E-2</v>
      </c>
      <c r="P179" s="182">
        <f t="shared" si="31"/>
        <v>7.5521818181818176E-2</v>
      </c>
      <c r="Q179" s="182">
        <f t="shared" si="31"/>
        <v>8.4000000000000012E-3</v>
      </c>
      <c r="R179" s="182">
        <f t="shared" si="31"/>
        <v>2E-3</v>
      </c>
      <c r="S179" s="182">
        <f t="shared" si="31"/>
        <v>8.7592000000000003E-2</v>
      </c>
      <c r="T179" s="182">
        <f t="shared" si="31"/>
        <v>0.1188333333333333</v>
      </c>
    </row>
    <row r="180" spans="2:20">
      <c r="B180" s="405" t="s">
        <v>298</v>
      </c>
      <c r="C180" s="405"/>
      <c r="D180" s="405"/>
      <c r="E180" s="405"/>
      <c r="F180" s="187">
        <f>F171+F174+F177</f>
        <v>37.616675324675327</v>
      </c>
      <c r="G180" s="187">
        <f t="shared" ref="G180:T180" si="32">G171+G174+G177</f>
        <v>33.534815189873413</v>
      </c>
      <c r="H180" s="187">
        <f t="shared" si="32"/>
        <v>165.85321074626864</v>
      </c>
      <c r="I180" s="187">
        <f t="shared" si="32"/>
        <v>1114.9790034042553</v>
      </c>
      <c r="J180" s="187">
        <f t="shared" si="32"/>
        <v>0.73480000000000001</v>
      </c>
      <c r="K180" s="187">
        <f t="shared" si="32"/>
        <v>0.69991428571428582</v>
      </c>
      <c r="L180" s="187">
        <f t="shared" si="32"/>
        <v>26.270019999999995</v>
      </c>
      <c r="M180" s="187">
        <f t="shared" si="32"/>
        <v>1.1828200000000002</v>
      </c>
      <c r="N180" s="187">
        <f t="shared" si="32"/>
        <v>3.8243</v>
      </c>
      <c r="O180" s="187">
        <f t="shared" si="32"/>
        <v>275.83126109090909</v>
      </c>
      <c r="P180" s="187">
        <f t="shared" si="32"/>
        <v>443.71820036363636</v>
      </c>
      <c r="Q180" s="187">
        <f t="shared" si="32"/>
        <v>2.6826600000000003</v>
      </c>
      <c r="R180" s="187">
        <f t="shared" si="32"/>
        <v>5.6799999999999996E-2</v>
      </c>
      <c r="S180" s="187">
        <f t="shared" si="32"/>
        <v>125.2748272</v>
      </c>
      <c r="T180" s="187">
        <f t="shared" si="32"/>
        <v>7.0263333333333335</v>
      </c>
    </row>
    <row r="181" spans="2:20">
      <c r="B181" s="405" t="s">
        <v>242</v>
      </c>
      <c r="C181" s="405"/>
      <c r="D181" s="405"/>
      <c r="E181" s="405"/>
      <c r="F181" s="266">
        <v>77</v>
      </c>
      <c r="G181" s="266">
        <v>79</v>
      </c>
      <c r="H181" s="266">
        <v>335</v>
      </c>
      <c r="I181" s="266">
        <v>2350</v>
      </c>
      <c r="J181" s="266">
        <v>1.2</v>
      </c>
      <c r="K181" s="266">
        <v>1.4</v>
      </c>
      <c r="L181" s="266">
        <v>60</v>
      </c>
      <c r="M181" s="266">
        <v>0.7</v>
      </c>
      <c r="N181" s="266">
        <v>10</v>
      </c>
      <c r="O181" s="266">
        <v>1100</v>
      </c>
      <c r="P181" s="266">
        <v>1100</v>
      </c>
      <c r="Q181" s="266">
        <v>10</v>
      </c>
      <c r="R181" s="266">
        <v>0.1</v>
      </c>
      <c r="S181" s="266">
        <v>250</v>
      </c>
      <c r="T181" s="266">
        <v>12</v>
      </c>
    </row>
    <row r="182" spans="2:20">
      <c r="B182" s="405" t="s">
        <v>226</v>
      </c>
      <c r="C182" s="405"/>
      <c r="D182" s="405"/>
      <c r="E182" s="405"/>
      <c r="F182" s="182">
        <f>F180/F181</f>
        <v>0.48852825096980945</v>
      </c>
      <c r="G182" s="182">
        <f t="shared" ref="G182:T182" si="33">G180/G181</f>
        <v>0.424491331517385</v>
      </c>
      <c r="H182" s="182">
        <f t="shared" si="33"/>
        <v>0.49508421118289148</v>
      </c>
      <c r="I182" s="182">
        <f t="shared" si="33"/>
        <v>0.47445915038478947</v>
      </c>
      <c r="J182" s="182">
        <f t="shared" si="33"/>
        <v>0.6123333333333334</v>
      </c>
      <c r="K182" s="182">
        <f t="shared" si="33"/>
        <v>0.49993877551020421</v>
      </c>
      <c r="L182" s="182">
        <f t="shared" si="33"/>
        <v>0.43783366666666657</v>
      </c>
      <c r="M182" s="182">
        <f t="shared" si="33"/>
        <v>1.6897428571428574</v>
      </c>
      <c r="N182" s="182">
        <f t="shared" si="33"/>
        <v>0.38242999999999999</v>
      </c>
      <c r="O182" s="182">
        <f t="shared" si="33"/>
        <v>0.25075569190082647</v>
      </c>
      <c r="P182" s="182">
        <f t="shared" si="33"/>
        <v>0.40338018214876031</v>
      </c>
      <c r="Q182" s="182">
        <f t="shared" si="33"/>
        <v>0.268266</v>
      </c>
      <c r="R182" s="182">
        <f t="shared" si="33"/>
        <v>0.56799999999999995</v>
      </c>
      <c r="S182" s="182">
        <f t="shared" si="33"/>
        <v>0.50109930879999998</v>
      </c>
      <c r="T182" s="182">
        <f t="shared" si="33"/>
        <v>0.58552777777777776</v>
      </c>
    </row>
    <row r="183" spans="2:20">
      <c r="B183" s="172"/>
      <c r="C183" s="266"/>
      <c r="D183" s="266"/>
      <c r="E183" s="266"/>
      <c r="F183" s="266"/>
      <c r="G183" s="266"/>
      <c r="H183" s="266"/>
      <c r="I183" s="266"/>
      <c r="J183" s="266"/>
      <c r="K183" s="266"/>
      <c r="L183" s="266"/>
      <c r="M183" s="400" t="s">
        <v>187</v>
      </c>
      <c r="N183" s="400"/>
      <c r="O183" s="400"/>
      <c r="P183" s="400"/>
      <c r="Q183" s="400"/>
      <c r="R183" s="400"/>
      <c r="S183" s="400"/>
      <c r="T183" s="400"/>
    </row>
    <row r="184" spans="2:20">
      <c r="B184" s="401" t="s">
        <v>299</v>
      </c>
      <c r="C184" s="401"/>
      <c r="D184" s="401"/>
      <c r="E184" s="401"/>
      <c r="F184" s="401"/>
      <c r="G184" s="401"/>
      <c r="H184" s="401"/>
      <c r="I184" s="401"/>
      <c r="J184" s="401"/>
      <c r="K184" s="401"/>
      <c r="L184" s="401"/>
      <c r="M184" s="401"/>
      <c r="N184" s="401"/>
      <c r="O184" s="401"/>
      <c r="P184" s="401"/>
      <c r="Q184" s="401"/>
      <c r="R184" s="401"/>
      <c r="S184" s="401"/>
      <c r="T184" s="401"/>
    </row>
    <row r="185" spans="2:20">
      <c r="B185" s="401" t="s">
        <v>189</v>
      </c>
      <c r="C185" s="401"/>
      <c r="D185" s="266"/>
      <c r="E185" s="266"/>
      <c r="F185" s="266"/>
      <c r="G185" s="400" t="s">
        <v>190</v>
      </c>
      <c r="H185" s="400"/>
      <c r="I185" s="400"/>
      <c r="J185" s="266"/>
      <c r="K185" s="266"/>
      <c r="L185" s="401" t="s">
        <v>191</v>
      </c>
      <c r="M185" s="401"/>
      <c r="N185" s="400" t="s">
        <v>192</v>
      </c>
      <c r="O185" s="400"/>
      <c r="P185" s="400"/>
      <c r="Q185" s="400"/>
      <c r="R185" s="266"/>
      <c r="S185" s="266"/>
      <c r="T185" s="266"/>
    </row>
    <row r="186" spans="2:20">
      <c r="B186" s="266"/>
      <c r="C186" s="266"/>
      <c r="D186" s="266"/>
      <c r="E186" s="401" t="s">
        <v>194</v>
      </c>
      <c r="F186" s="401"/>
      <c r="G186" s="266">
        <v>2</v>
      </c>
      <c r="H186" s="266"/>
      <c r="I186" s="266"/>
      <c r="J186" s="266"/>
      <c r="K186" s="266"/>
      <c r="L186" s="401" t="s">
        <v>195</v>
      </c>
      <c r="M186" s="401"/>
      <c r="N186" s="400" t="s">
        <v>196</v>
      </c>
      <c r="O186" s="400"/>
      <c r="P186" s="400"/>
      <c r="Q186" s="400"/>
      <c r="R186" s="400"/>
      <c r="S186" s="400"/>
      <c r="T186" s="400"/>
    </row>
    <row r="187" spans="2:20">
      <c r="B187" s="265" t="s">
        <v>0</v>
      </c>
      <c r="C187" s="412" t="s">
        <v>198</v>
      </c>
      <c r="D187" s="412"/>
      <c r="E187" s="412" t="s">
        <v>199</v>
      </c>
      <c r="F187" s="412" t="s">
        <v>200</v>
      </c>
      <c r="G187" s="412"/>
      <c r="H187" s="412"/>
      <c r="I187" s="265" t="s">
        <v>201</v>
      </c>
      <c r="J187" s="412" t="s">
        <v>202</v>
      </c>
      <c r="K187" s="412"/>
      <c r="L187" s="412"/>
      <c r="M187" s="412"/>
      <c r="N187" s="412"/>
      <c r="O187" s="412" t="s">
        <v>203</v>
      </c>
      <c r="P187" s="412"/>
      <c r="Q187" s="412"/>
      <c r="R187" s="412"/>
      <c r="S187" s="412"/>
      <c r="T187" s="412"/>
    </row>
    <row r="188" spans="2:20" ht="51">
      <c r="B188" s="265" t="s">
        <v>245</v>
      </c>
      <c r="C188" s="412"/>
      <c r="D188" s="412"/>
      <c r="E188" s="412"/>
      <c r="F188" s="265" t="s">
        <v>204</v>
      </c>
      <c r="G188" s="265" t="s">
        <v>205</v>
      </c>
      <c r="H188" s="265" t="s">
        <v>206</v>
      </c>
      <c r="I188" s="265" t="s">
        <v>207</v>
      </c>
      <c r="J188" s="265" t="s">
        <v>208</v>
      </c>
      <c r="K188" s="265" t="s">
        <v>209</v>
      </c>
      <c r="L188" s="265" t="s">
        <v>210</v>
      </c>
      <c r="M188" s="265" t="s">
        <v>211</v>
      </c>
      <c r="N188" s="265" t="s">
        <v>212</v>
      </c>
      <c r="O188" s="265" t="s">
        <v>213</v>
      </c>
      <c r="P188" s="265" t="s">
        <v>214</v>
      </c>
      <c r="Q188" s="265" t="s">
        <v>215</v>
      </c>
      <c r="R188" s="265" t="s">
        <v>216</v>
      </c>
      <c r="S188" s="265" t="s">
        <v>217</v>
      </c>
      <c r="T188" s="265" t="s">
        <v>218</v>
      </c>
    </row>
    <row r="189" spans="2:20">
      <c r="B189" s="264">
        <v>1</v>
      </c>
      <c r="C189" s="407">
        <v>2</v>
      </c>
      <c r="D189" s="407"/>
      <c r="E189" s="264">
        <v>3</v>
      </c>
      <c r="F189" s="264">
        <v>4</v>
      </c>
      <c r="G189" s="264">
        <v>5</v>
      </c>
      <c r="H189" s="264">
        <v>6</v>
      </c>
      <c r="I189" s="264">
        <v>7</v>
      </c>
      <c r="J189" s="264">
        <v>8</v>
      </c>
      <c r="K189" s="264">
        <v>9</v>
      </c>
      <c r="L189" s="264">
        <v>10</v>
      </c>
      <c r="M189" s="264">
        <v>11</v>
      </c>
      <c r="N189" s="264">
        <v>12</v>
      </c>
      <c r="O189" s="264">
        <v>13</v>
      </c>
      <c r="P189" s="264">
        <v>14</v>
      </c>
      <c r="Q189" s="264">
        <v>15</v>
      </c>
      <c r="R189" s="264">
        <v>16</v>
      </c>
      <c r="S189" s="264">
        <v>17</v>
      </c>
      <c r="T189" s="264">
        <v>18</v>
      </c>
    </row>
    <row r="190" spans="2:20">
      <c r="B190" s="401" t="s">
        <v>219</v>
      </c>
      <c r="C190" s="401"/>
      <c r="D190" s="401"/>
      <c r="E190" s="401"/>
      <c r="F190" s="401"/>
      <c r="G190" s="401"/>
      <c r="H190" s="401"/>
      <c r="I190" s="401"/>
      <c r="J190" s="401"/>
      <c r="K190" s="401"/>
      <c r="L190" s="401"/>
      <c r="M190" s="401"/>
      <c r="N190" s="401"/>
      <c r="O190" s="401"/>
      <c r="P190" s="401"/>
      <c r="Q190" s="401"/>
      <c r="R190" s="401"/>
      <c r="S190" s="401"/>
      <c r="T190" s="401"/>
    </row>
    <row r="191" spans="2:20" ht="18.75" customHeight="1">
      <c r="B191" s="243">
        <v>338</v>
      </c>
      <c r="C191" s="435" t="s">
        <v>300</v>
      </c>
      <c r="D191" s="435"/>
      <c r="E191" s="243">
        <v>100</v>
      </c>
      <c r="F191" s="243">
        <v>0.9</v>
      </c>
      <c r="G191" s="243">
        <v>0.2</v>
      </c>
      <c r="H191" s="243">
        <v>8.1</v>
      </c>
      <c r="I191" s="243">
        <v>37.799999999999997</v>
      </c>
      <c r="J191" s="243">
        <v>0.04</v>
      </c>
      <c r="K191" s="243">
        <v>0.03</v>
      </c>
      <c r="L191" s="243">
        <v>60</v>
      </c>
      <c r="M191" s="243">
        <v>0.01</v>
      </c>
      <c r="N191" s="243">
        <v>0.2</v>
      </c>
      <c r="O191" s="243">
        <v>34</v>
      </c>
      <c r="P191" s="243">
        <v>23</v>
      </c>
      <c r="Q191" s="243">
        <v>0.2</v>
      </c>
      <c r="R191" s="243">
        <v>0</v>
      </c>
      <c r="S191" s="243">
        <v>15</v>
      </c>
      <c r="T191" s="243">
        <v>0.3</v>
      </c>
    </row>
    <row r="192" spans="2:20" s="173" customFormat="1" ht="24.75" customHeight="1">
      <c r="B192" s="310">
        <v>15</v>
      </c>
      <c r="C192" s="406" t="s">
        <v>221</v>
      </c>
      <c r="D192" s="406"/>
      <c r="E192" s="310">
        <v>20</v>
      </c>
      <c r="F192" s="310">
        <v>4.6399999999999997</v>
      </c>
      <c r="G192" s="310">
        <v>6.8</v>
      </c>
      <c r="H192" s="310">
        <v>0.02</v>
      </c>
      <c r="I192" s="310">
        <v>79.8</v>
      </c>
      <c r="J192" s="310">
        <v>0.01</v>
      </c>
      <c r="K192" s="310">
        <v>0.06</v>
      </c>
      <c r="L192" s="310">
        <v>0.14000000000000001</v>
      </c>
      <c r="M192" s="310">
        <v>4.5999999999999999E-2</v>
      </c>
      <c r="N192" s="310">
        <v>0.1</v>
      </c>
      <c r="O192" s="310">
        <v>176</v>
      </c>
      <c r="P192" s="310">
        <v>100</v>
      </c>
      <c r="Q192" s="310">
        <v>0.8</v>
      </c>
      <c r="R192" s="310">
        <v>0.04</v>
      </c>
      <c r="S192" s="310">
        <v>7</v>
      </c>
      <c r="T192" s="310">
        <v>0.26</v>
      </c>
    </row>
    <row r="193" spans="2:20" ht="27" customHeight="1">
      <c r="B193" s="305">
        <v>173</v>
      </c>
      <c r="C193" s="417" t="s">
        <v>301</v>
      </c>
      <c r="D193" s="417"/>
      <c r="E193" s="305">
        <v>200</v>
      </c>
      <c r="F193" s="305">
        <v>7.3</v>
      </c>
      <c r="G193" s="305">
        <v>12.5</v>
      </c>
      <c r="H193" s="305">
        <v>54.3</v>
      </c>
      <c r="I193" s="305">
        <v>345.3</v>
      </c>
      <c r="J193" s="305">
        <v>0.1</v>
      </c>
      <c r="K193" s="305">
        <v>0.2</v>
      </c>
      <c r="L193" s="305">
        <v>3.4</v>
      </c>
      <c r="M193" s="305">
        <v>3.6999999999999998E-2</v>
      </c>
      <c r="N193" s="305">
        <v>1.3</v>
      </c>
      <c r="O193" s="305">
        <v>147.6</v>
      </c>
      <c r="P193" s="305">
        <v>198.6</v>
      </c>
      <c r="Q193" s="305">
        <v>0</v>
      </c>
      <c r="R193" s="305">
        <v>0</v>
      </c>
      <c r="S193" s="305">
        <v>57.8</v>
      </c>
      <c r="T193" s="305">
        <v>1.3</v>
      </c>
    </row>
    <row r="194" spans="2:20" ht="18.75" customHeight="1">
      <c r="B194" s="305">
        <v>379</v>
      </c>
      <c r="C194" s="417" t="s">
        <v>250</v>
      </c>
      <c r="D194" s="417"/>
      <c r="E194" s="305">
        <v>200</v>
      </c>
      <c r="F194" s="305">
        <v>2.8</v>
      </c>
      <c r="G194" s="305">
        <v>3.2</v>
      </c>
      <c r="H194" s="305">
        <v>24.66</v>
      </c>
      <c r="I194" s="305">
        <v>132.47999999999999</v>
      </c>
      <c r="J194" s="305">
        <v>0.04</v>
      </c>
      <c r="K194" s="305">
        <v>0.15</v>
      </c>
      <c r="L194" s="305">
        <v>1.3</v>
      </c>
      <c r="M194" s="305">
        <v>0.03</v>
      </c>
      <c r="N194" s="305">
        <v>0.06</v>
      </c>
      <c r="O194" s="305">
        <v>120.4</v>
      </c>
      <c r="P194" s="305">
        <v>90</v>
      </c>
      <c r="Q194" s="305">
        <v>1.1000000000000001</v>
      </c>
      <c r="R194" s="305">
        <v>0.01</v>
      </c>
      <c r="S194" s="305">
        <v>14</v>
      </c>
      <c r="T194" s="305">
        <v>0.12</v>
      </c>
    </row>
    <row r="195" spans="2:20" ht="19.5" customHeight="1">
      <c r="B195" s="305" t="s">
        <v>224</v>
      </c>
      <c r="C195" s="417" t="s">
        <v>302</v>
      </c>
      <c r="D195" s="417"/>
      <c r="E195" s="305">
        <v>40</v>
      </c>
      <c r="F195" s="305">
        <v>2.67</v>
      </c>
      <c r="G195" s="305">
        <v>0.53</v>
      </c>
      <c r="H195" s="305">
        <v>13.73</v>
      </c>
      <c r="I195" s="305">
        <v>70.400000000000006</v>
      </c>
      <c r="J195" s="305">
        <v>0.13</v>
      </c>
      <c r="K195" s="305">
        <v>1.2999999999999999E-2</v>
      </c>
      <c r="L195" s="305">
        <v>0.1</v>
      </c>
      <c r="M195" s="305">
        <v>0</v>
      </c>
      <c r="N195" s="305">
        <v>0.93</v>
      </c>
      <c r="O195" s="305">
        <v>14</v>
      </c>
      <c r="P195" s="305">
        <v>63.2</v>
      </c>
      <c r="Q195" s="305">
        <v>1.2999999999999999E-2</v>
      </c>
      <c r="R195" s="305">
        <v>1.2999999999999999E-2</v>
      </c>
      <c r="S195" s="305">
        <v>18.8</v>
      </c>
      <c r="T195" s="305">
        <v>1.6</v>
      </c>
    </row>
    <row r="196" spans="2:20" ht="15" customHeight="1">
      <c r="B196" s="401" t="s">
        <v>225</v>
      </c>
      <c r="C196" s="401"/>
      <c r="D196" s="401"/>
      <c r="E196" s="302">
        <f>SUM(E191:E195)</f>
        <v>560</v>
      </c>
      <c r="F196" s="302">
        <f t="shared" ref="F196:T196" si="34">SUM(F191:F195)</f>
        <v>18.310000000000002</v>
      </c>
      <c r="G196" s="302">
        <f t="shared" si="34"/>
        <v>23.23</v>
      </c>
      <c r="H196" s="302">
        <f t="shared" si="34"/>
        <v>100.81</v>
      </c>
      <c r="I196" s="302">
        <f t="shared" si="34"/>
        <v>665.78</v>
      </c>
      <c r="J196" s="302">
        <f t="shared" si="34"/>
        <v>0.32000000000000006</v>
      </c>
      <c r="K196" s="302">
        <f t="shared" si="34"/>
        <v>0.45300000000000007</v>
      </c>
      <c r="L196" s="302">
        <f t="shared" si="34"/>
        <v>64.94</v>
      </c>
      <c r="M196" s="302">
        <f t="shared" si="34"/>
        <v>0.123</v>
      </c>
      <c r="N196" s="302">
        <f t="shared" si="34"/>
        <v>2.5900000000000003</v>
      </c>
      <c r="O196" s="302">
        <f t="shared" si="34"/>
        <v>492</v>
      </c>
      <c r="P196" s="302">
        <f t="shared" si="34"/>
        <v>474.8</v>
      </c>
      <c r="Q196" s="302">
        <f t="shared" si="34"/>
        <v>2.113</v>
      </c>
      <c r="R196" s="302">
        <f t="shared" si="34"/>
        <v>6.3E-2</v>
      </c>
      <c r="S196" s="302">
        <f t="shared" si="34"/>
        <v>112.6</v>
      </c>
      <c r="T196" s="302">
        <f t="shared" si="34"/>
        <v>3.58</v>
      </c>
    </row>
    <row r="197" spans="2:20" ht="15" customHeight="1">
      <c r="B197" s="401" t="s">
        <v>226</v>
      </c>
      <c r="C197" s="401"/>
      <c r="D197" s="401"/>
      <c r="E197" s="401"/>
      <c r="F197" s="182">
        <f t="shared" ref="F197:T197" si="35">F196/F215</f>
        <v>0.23779220779220783</v>
      </c>
      <c r="G197" s="182">
        <f t="shared" si="35"/>
        <v>0.29405063291139238</v>
      </c>
      <c r="H197" s="182">
        <f t="shared" si="35"/>
        <v>0.30092537313432838</v>
      </c>
      <c r="I197" s="182">
        <f t="shared" si="35"/>
        <v>0.28331063829787234</v>
      </c>
      <c r="J197" s="182">
        <f t="shared" si="35"/>
        <v>0.26666666666666672</v>
      </c>
      <c r="K197" s="182">
        <f t="shared" si="35"/>
        <v>0.32357142857142862</v>
      </c>
      <c r="L197" s="183">
        <f t="shared" si="35"/>
        <v>1.0823333333333334</v>
      </c>
      <c r="M197" s="182">
        <f t="shared" si="35"/>
        <v>0.17571428571428571</v>
      </c>
      <c r="N197" s="182">
        <f t="shared" si="35"/>
        <v>0.25900000000000001</v>
      </c>
      <c r="O197" s="182">
        <f t="shared" si="35"/>
        <v>0.44727272727272727</v>
      </c>
      <c r="P197" s="182">
        <f t="shared" si="35"/>
        <v>0.43163636363636365</v>
      </c>
      <c r="Q197" s="182">
        <f t="shared" si="35"/>
        <v>0.21129999999999999</v>
      </c>
      <c r="R197" s="182">
        <f t="shared" si="35"/>
        <v>0.63</v>
      </c>
      <c r="S197" s="182">
        <f t="shared" si="35"/>
        <v>0.45039999999999997</v>
      </c>
      <c r="T197" s="182">
        <f t="shared" si="35"/>
        <v>0.29833333333333334</v>
      </c>
    </row>
    <row r="198" spans="2:20" ht="20.25" customHeight="1">
      <c r="B198" s="401" t="s">
        <v>227</v>
      </c>
      <c r="C198" s="401"/>
      <c r="D198" s="401"/>
      <c r="E198" s="401"/>
      <c r="F198" s="401"/>
      <c r="G198" s="401"/>
      <c r="H198" s="401"/>
      <c r="I198" s="401"/>
      <c r="J198" s="401"/>
      <c r="K198" s="401"/>
      <c r="L198" s="401"/>
      <c r="M198" s="401"/>
      <c r="N198" s="401"/>
      <c r="O198" s="401"/>
      <c r="P198" s="401"/>
      <c r="Q198" s="401"/>
      <c r="R198" s="401"/>
      <c r="S198" s="401"/>
      <c r="T198" s="401"/>
    </row>
    <row r="199" spans="2:20" ht="30" customHeight="1">
      <c r="B199" s="305" t="s">
        <v>268</v>
      </c>
      <c r="C199" s="417" t="s">
        <v>269</v>
      </c>
      <c r="D199" s="417"/>
      <c r="E199" s="305">
        <v>60</v>
      </c>
      <c r="F199" s="305">
        <v>0.5</v>
      </c>
      <c r="G199" s="305">
        <v>3.02</v>
      </c>
      <c r="H199" s="305">
        <v>1.1000000000000001</v>
      </c>
      <c r="I199" s="305">
        <v>33.6</v>
      </c>
      <c r="J199" s="305">
        <v>0.09</v>
      </c>
      <c r="K199" s="305">
        <v>0.02</v>
      </c>
      <c r="L199" s="305">
        <v>4.25</v>
      </c>
      <c r="M199" s="305">
        <v>0.09</v>
      </c>
      <c r="N199" s="305"/>
      <c r="O199" s="305">
        <v>20.38</v>
      </c>
      <c r="P199" s="305">
        <v>13.93</v>
      </c>
      <c r="Q199" s="305"/>
      <c r="R199" s="305">
        <v>0</v>
      </c>
      <c r="S199" s="305">
        <v>8.35</v>
      </c>
      <c r="T199" s="305">
        <v>0.38</v>
      </c>
    </row>
    <row r="200" spans="2:20" ht="18.75" customHeight="1">
      <c r="B200" s="305">
        <v>24</v>
      </c>
      <c r="C200" s="417" t="s">
        <v>270</v>
      </c>
      <c r="D200" s="417"/>
      <c r="E200" s="305">
        <v>60</v>
      </c>
      <c r="F200" s="305">
        <v>0.3</v>
      </c>
      <c r="G200" s="305">
        <v>2</v>
      </c>
      <c r="H200" s="305">
        <v>1.6</v>
      </c>
      <c r="I200" s="305">
        <v>25.6</v>
      </c>
      <c r="J200" s="305">
        <v>0.06</v>
      </c>
      <c r="K200" s="305">
        <v>0.04</v>
      </c>
      <c r="L200" s="305">
        <v>12.4</v>
      </c>
      <c r="M200" s="305">
        <v>0</v>
      </c>
      <c r="N200" s="305">
        <v>1.5</v>
      </c>
      <c r="O200" s="305">
        <v>28.2</v>
      </c>
      <c r="P200" s="305">
        <v>32.299999999999997</v>
      </c>
      <c r="Q200" s="305">
        <v>0.3</v>
      </c>
      <c r="R200" s="305">
        <v>0</v>
      </c>
      <c r="S200" s="305">
        <v>18.600000000000001</v>
      </c>
      <c r="T200" s="305">
        <v>0.5</v>
      </c>
    </row>
    <row r="201" spans="2:20" ht="18.75" customHeight="1">
      <c r="B201" s="305">
        <v>84</v>
      </c>
      <c r="C201" s="417" t="s">
        <v>303</v>
      </c>
      <c r="D201" s="417"/>
      <c r="E201" s="305">
        <v>200</v>
      </c>
      <c r="F201" s="305">
        <v>1.77</v>
      </c>
      <c r="G201" s="305">
        <v>2.65</v>
      </c>
      <c r="H201" s="305">
        <v>12.74</v>
      </c>
      <c r="I201" s="305">
        <v>81.89</v>
      </c>
      <c r="J201" s="305">
        <v>0.05</v>
      </c>
      <c r="K201" s="305">
        <v>0.05</v>
      </c>
      <c r="L201" s="305">
        <v>19</v>
      </c>
      <c r="M201" s="305">
        <v>0.74</v>
      </c>
      <c r="N201" s="305">
        <v>0.1</v>
      </c>
      <c r="O201" s="305">
        <v>43.11</v>
      </c>
      <c r="P201" s="305">
        <v>48.75</v>
      </c>
      <c r="Q201" s="305">
        <v>1.3</v>
      </c>
      <c r="R201" s="305">
        <v>3.0000000000000001E-3</v>
      </c>
      <c r="S201" s="305">
        <v>22.44</v>
      </c>
      <c r="T201" s="305">
        <v>0.8</v>
      </c>
    </row>
    <row r="202" spans="2:20" ht="25.5" customHeight="1">
      <c r="B202" s="305">
        <v>260</v>
      </c>
      <c r="C202" s="417" t="s">
        <v>232</v>
      </c>
      <c r="D202" s="417"/>
      <c r="E202" s="305">
        <v>90</v>
      </c>
      <c r="F202" s="305">
        <v>11.295</v>
      </c>
      <c r="G202" s="305">
        <v>11.691000000000001</v>
      </c>
      <c r="H202" s="305">
        <v>3.609</v>
      </c>
      <c r="I202" s="305">
        <v>164.25</v>
      </c>
      <c r="J202" s="305">
        <v>6.3E-2</v>
      </c>
      <c r="K202" s="305">
        <v>9.9000000000000005E-2</v>
      </c>
      <c r="L202" s="305">
        <v>4.5629999999999997</v>
      </c>
      <c r="M202" s="305">
        <v>1.341</v>
      </c>
      <c r="N202" s="305">
        <v>2.0249999999999999</v>
      </c>
      <c r="O202" s="305">
        <v>27.468</v>
      </c>
      <c r="P202" s="305">
        <v>107.271</v>
      </c>
      <c r="Q202" s="305"/>
      <c r="R202" s="305"/>
      <c r="S202" s="305">
        <v>21.626999999999999</v>
      </c>
      <c r="T202" s="305">
        <v>1.89</v>
      </c>
    </row>
    <row r="203" spans="2:20" ht="27.75" customHeight="1">
      <c r="B203" s="305">
        <v>203</v>
      </c>
      <c r="C203" s="417" t="s">
        <v>304</v>
      </c>
      <c r="D203" s="417"/>
      <c r="E203" s="305">
        <v>150</v>
      </c>
      <c r="F203" s="305">
        <v>5.52</v>
      </c>
      <c r="G203" s="305">
        <v>4.5199999999999996</v>
      </c>
      <c r="H203" s="305">
        <v>26.45</v>
      </c>
      <c r="I203" s="305">
        <v>168.56</v>
      </c>
      <c r="J203" s="305">
        <v>0.09</v>
      </c>
      <c r="K203" s="305">
        <v>0.03</v>
      </c>
      <c r="L203" s="305">
        <v>0</v>
      </c>
      <c r="M203" s="305">
        <v>3.3000000000000002E-2</v>
      </c>
      <c r="N203" s="305">
        <v>1.25</v>
      </c>
      <c r="O203" s="305">
        <v>13.3</v>
      </c>
      <c r="P203" s="305">
        <v>46.21</v>
      </c>
      <c r="Q203" s="305">
        <v>0.01</v>
      </c>
      <c r="R203" s="305">
        <v>2E-3</v>
      </c>
      <c r="S203" s="305">
        <v>8.4700000000000006</v>
      </c>
      <c r="T203" s="305">
        <v>0.86</v>
      </c>
    </row>
    <row r="204" spans="2:20" ht="19.5" customHeight="1">
      <c r="B204" s="305">
        <v>648</v>
      </c>
      <c r="C204" s="417" t="s">
        <v>294</v>
      </c>
      <c r="D204" s="417"/>
      <c r="E204" s="305">
        <v>200</v>
      </c>
      <c r="F204" s="305">
        <v>0</v>
      </c>
      <c r="G204" s="305">
        <v>0</v>
      </c>
      <c r="H204" s="305">
        <v>20</v>
      </c>
      <c r="I204" s="305">
        <v>76</v>
      </c>
      <c r="J204" s="305">
        <v>0</v>
      </c>
      <c r="K204" s="305">
        <v>0</v>
      </c>
      <c r="L204" s="305">
        <v>0</v>
      </c>
      <c r="M204" s="305">
        <v>0</v>
      </c>
      <c r="N204" s="305"/>
      <c r="O204" s="305">
        <v>0.48</v>
      </c>
      <c r="P204" s="305">
        <v>0</v>
      </c>
      <c r="Q204" s="305">
        <v>0</v>
      </c>
      <c r="R204" s="305">
        <v>0</v>
      </c>
      <c r="S204" s="305">
        <v>0</v>
      </c>
      <c r="T204" s="305">
        <v>0.06</v>
      </c>
    </row>
    <row r="205" spans="2:20" ht="15" customHeight="1">
      <c r="B205" s="305" t="s">
        <v>224</v>
      </c>
      <c r="C205" s="417" t="s">
        <v>235</v>
      </c>
      <c r="D205" s="417"/>
      <c r="E205" s="305">
        <v>40</v>
      </c>
      <c r="F205" s="305">
        <v>2.64</v>
      </c>
      <c r="G205" s="305">
        <v>0.48</v>
      </c>
      <c r="H205" s="305">
        <v>13.68</v>
      </c>
      <c r="I205" s="305">
        <v>69.599999999999994</v>
      </c>
      <c r="J205" s="305">
        <v>0.08</v>
      </c>
      <c r="K205" s="305">
        <v>0.04</v>
      </c>
      <c r="L205" s="305">
        <v>0</v>
      </c>
      <c r="M205" s="305">
        <v>0</v>
      </c>
      <c r="N205" s="305">
        <v>2.4</v>
      </c>
      <c r="O205" s="305">
        <v>14</v>
      </c>
      <c r="P205" s="305">
        <v>63.2</v>
      </c>
      <c r="Q205" s="305">
        <v>1.2</v>
      </c>
      <c r="R205" s="305">
        <v>1E-3</v>
      </c>
      <c r="S205" s="305">
        <v>9.4</v>
      </c>
      <c r="T205" s="305">
        <v>0.78</v>
      </c>
    </row>
    <row r="206" spans="2:20" ht="25.5" customHeight="1">
      <c r="B206" s="305" t="s">
        <v>224</v>
      </c>
      <c r="C206" s="417" t="s">
        <v>117</v>
      </c>
      <c r="D206" s="417"/>
      <c r="E206" s="305">
        <v>30</v>
      </c>
      <c r="F206" s="305">
        <v>1.52</v>
      </c>
      <c r="G206" s="305">
        <v>0.16</v>
      </c>
      <c r="H206" s="305">
        <v>9.84</v>
      </c>
      <c r="I206" s="305">
        <v>46.9</v>
      </c>
      <c r="J206" s="305">
        <v>0.02</v>
      </c>
      <c r="K206" s="305">
        <v>0.01</v>
      </c>
      <c r="L206" s="305">
        <v>0.44</v>
      </c>
      <c r="M206" s="305">
        <v>0</v>
      </c>
      <c r="N206" s="305">
        <v>0.7</v>
      </c>
      <c r="O206" s="305">
        <v>4</v>
      </c>
      <c r="P206" s="305">
        <v>13</v>
      </c>
      <c r="Q206" s="305">
        <v>8.0000000000000002E-3</v>
      </c>
      <c r="R206" s="305">
        <v>1E-3</v>
      </c>
      <c r="S206" s="305">
        <v>0</v>
      </c>
      <c r="T206" s="305">
        <v>0.22</v>
      </c>
    </row>
    <row r="207" spans="2:20">
      <c r="B207" s="401" t="s">
        <v>236</v>
      </c>
      <c r="C207" s="401"/>
      <c r="D207" s="401"/>
      <c r="E207" s="302">
        <f>E200+E201+E202+E203+E204+E205+E206</f>
        <v>770</v>
      </c>
      <c r="F207" s="302">
        <f t="shared" ref="F207:T207" si="36">F200+F201+F202+F203+F204+F205+F206</f>
        <v>23.044999999999998</v>
      </c>
      <c r="G207" s="302">
        <f t="shared" si="36"/>
        <v>21.501000000000001</v>
      </c>
      <c r="H207" s="302">
        <f t="shared" si="36"/>
        <v>87.919000000000011</v>
      </c>
      <c r="I207" s="302">
        <f t="shared" si="36"/>
        <v>632.79999999999995</v>
      </c>
      <c r="J207" s="302">
        <f t="shared" si="36"/>
        <v>0.36300000000000004</v>
      </c>
      <c r="K207" s="302">
        <f t="shared" si="36"/>
        <v>0.26900000000000002</v>
      </c>
      <c r="L207" s="302">
        <f t="shared" si="36"/>
        <v>36.402999999999999</v>
      </c>
      <c r="M207" s="302">
        <f t="shared" si="36"/>
        <v>2.1139999999999999</v>
      </c>
      <c r="N207" s="302">
        <f t="shared" si="36"/>
        <v>7.9750000000000005</v>
      </c>
      <c r="O207" s="302">
        <f t="shared" si="36"/>
        <v>130.55799999999999</v>
      </c>
      <c r="P207" s="302">
        <f t="shared" si="36"/>
        <v>310.73099999999999</v>
      </c>
      <c r="Q207" s="302">
        <f t="shared" si="36"/>
        <v>2.8180000000000001</v>
      </c>
      <c r="R207" s="302">
        <f t="shared" si="36"/>
        <v>7.0000000000000001E-3</v>
      </c>
      <c r="S207" s="302">
        <f t="shared" si="36"/>
        <v>80.537000000000006</v>
      </c>
      <c r="T207" s="302">
        <f t="shared" si="36"/>
        <v>5.1099999999999994</v>
      </c>
    </row>
    <row r="208" spans="2:20" ht="17.25" customHeight="1">
      <c r="B208" s="401" t="s">
        <v>226</v>
      </c>
      <c r="C208" s="401"/>
      <c r="D208" s="401"/>
      <c r="E208" s="401"/>
      <c r="F208" s="182">
        <f t="shared" ref="F208:T208" si="37">F207/F215</f>
        <v>0.29928571428571427</v>
      </c>
      <c r="G208" s="182">
        <f t="shared" si="37"/>
        <v>0.27216455696202535</v>
      </c>
      <c r="H208" s="182">
        <f t="shared" si="37"/>
        <v>0.26244477611940303</v>
      </c>
      <c r="I208" s="182">
        <f t="shared" si="37"/>
        <v>0.26927659574468082</v>
      </c>
      <c r="J208" s="182">
        <f t="shared" si="37"/>
        <v>0.30250000000000005</v>
      </c>
      <c r="K208" s="182">
        <f t="shared" si="37"/>
        <v>0.19214285714285717</v>
      </c>
      <c r="L208" s="182">
        <f t="shared" si="37"/>
        <v>0.60671666666666668</v>
      </c>
      <c r="M208" s="183">
        <f t="shared" si="37"/>
        <v>3.02</v>
      </c>
      <c r="N208" s="182">
        <f t="shared" si="37"/>
        <v>0.7975000000000001</v>
      </c>
      <c r="O208" s="182">
        <f t="shared" si="37"/>
        <v>0.1186890909090909</v>
      </c>
      <c r="P208" s="182">
        <f t="shared" si="37"/>
        <v>0.28248272727272727</v>
      </c>
      <c r="Q208" s="182">
        <f t="shared" si="37"/>
        <v>0.28179999999999999</v>
      </c>
      <c r="R208" s="182">
        <f t="shared" si="37"/>
        <v>6.9999999999999993E-2</v>
      </c>
      <c r="S208" s="182">
        <f t="shared" si="37"/>
        <v>0.32214800000000005</v>
      </c>
      <c r="T208" s="182">
        <f t="shared" si="37"/>
        <v>0.42583333333333329</v>
      </c>
    </row>
    <row r="209" spans="2:20" ht="17.25" customHeight="1">
      <c r="B209" s="401" t="s">
        <v>237</v>
      </c>
      <c r="C209" s="401"/>
      <c r="D209" s="401"/>
      <c r="E209" s="401"/>
      <c r="F209" s="401"/>
      <c r="G209" s="401"/>
      <c r="H209" s="401"/>
      <c r="I209" s="401"/>
      <c r="J209" s="401"/>
      <c r="K209" s="401"/>
      <c r="L209" s="401"/>
      <c r="M209" s="401"/>
      <c r="N209" s="401"/>
      <c r="O209" s="401"/>
      <c r="P209" s="401"/>
      <c r="Q209" s="401"/>
      <c r="R209" s="401"/>
      <c r="S209" s="401"/>
      <c r="T209" s="401"/>
    </row>
    <row r="210" spans="2:20" ht="15" customHeight="1">
      <c r="B210" s="310" t="s">
        <v>224</v>
      </c>
      <c r="C210" s="406" t="s">
        <v>257</v>
      </c>
      <c r="D210" s="406"/>
      <c r="E210" s="310">
        <v>80</v>
      </c>
      <c r="F210" s="310">
        <v>5.95</v>
      </c>
      <c r="G210" s="310">
        <v>6.05</v>
      </c>
      <c r="H210" s="310">
        <v>38.22</v>
      </c>
      <c r="I210" s="310">
        <v>231.11</v>
      </c>
      <c r="J210" s="310">
        <v>0.06</v>
      </c>
      <c r="K210" s="310">
        <v>0.06</v>
      </c>
      <c r="L210" s="310">
        <v>0.02</v>
      </c>
      <c r="M210" s="310">
        <v>0.06</v>
      </c>
      <c r="N210" s="310"/>
      <c r="O210" s="310">
        <v>19.489999999999998</v>
      </c>
      <c r="P210" s="310">
        <v>55.89</v>
      </c>
      <c r="Q210" s="310"/>
      <c r="R210" s="310">
        <v>0</v>
      </c>
      <c r="S210" s="310">
        <v>8.27</v>
      </c>
      <c r="T210" s="310">
        <v>0.7</v>
      </c>
    </row>
    <row r="211" spans="2:20" ht="15" customHeight="1">
      <c r="B211" s="305">
        <v>376</v>
      </c>
      <c r="C211" s="417" t="s">
        <v>141</v>
      </c>
      <c r="D211" s="417"/>
      <c r="E211" s="305">
        <v>200</v>
      </c>
      <c r="F211" s="305">
        <v>0.2</v>
      </c>
      <c r="G211" s="305">
        <v>0.05</v>
      </c>
      <c r="H211" s="305">
        <v>15.01</v>
      </c>
      <c r="I211" s="305">
        <v>61</v>
      </c>
      <c r="J211" s="305">
        <v>0</v>
      </c>
      <c r="K211" s="305">
        <v>0.01</v>
      </c>
      <c r="L211" s="305">
        <v>9</v>
      </c>
      <c r="M211" s="305">
        <v>1E-4</v>
      </c>
      <c r="N211" s="305">
        <v>4.4999999999999998E-2</v>
      </c>
      <c r="O211" s="305">
        <v>5.25</v>
      </c>
      <c r="P211" s="305">
        <v>8.24</v>
      </c>
      <c r="Q211" s="305">
        <v>8.0000000000000002E-3</v>
      </c>
      <c r="R211" s="305">
        <v>0</v>
      </c>
      <c r="S211" s="305">
        <v>4.4000000000000004</v>
      </c>
      <c r="T211" s="305">
        <v>0.87</v>
      </c>
    </row>
    <row r="212" spans="2:20" ht="15" customHeight="1">
      <c r="B212" s="413" t="s">
        <v>240</v>
      </c>
      <c r="C212" s="414"/>
      <c r="D212" s="415"/>
      <c r="E212" s="301">
        <f>SUM(E210:E211)</f>
        <v>280</v>
      </c>
      <c r="F212" s="301">
        <f t="shared" ref="F212:T212" si="38">SUM(F210:F211)</f>
        <v>6.15</v>
      </c>
      <c r="G212" s="301">
        <f t="shared" si="38"/>
        <v>6.1</v>
      </c>
      <c r="H212" s="301">
        <f t="shared" si="38"/>
        <v>53.23</v>
      </c>
      <c r="I212" s="301">
        <f t="shared" si="38"/>
        <v>292.11</v>
      </c>
      <c r="J212" s="301">
        <f t="shared" si="38"/>
        <v>0.06</v>
      </c>
      <c r="K212" s="301">
        <f t="shared" si="38"/>
        <v>6.9999999999999993E-2</v>
      </c>
      <c r="L212" s="301">
        <f t="shared" si="38"/>
        <v>9.02</v>
      </c>
      <c r="M212" s="301">
        <f t="shared" si="38"/>
        <v>6.0100000000000001E-2</v>
      </c>
      <c r="N212" s="301">
        <f t="shared" si="38"/>
        <v>4.4999999999999998E-2</v>
      </c>
      <c r="O212" s="301">
        <f t="shared" si="38"/>
        <v>24.74</v>
      </c>
      <c r="P212" s="301">
        <f t="shared" si="38"/>
        <v>64.13</v>
      </c>
      <c r="Q212" s="301">
        <f t="shared" si="38"/>
        <v>8.0000000000000002E-3</v>
      </c>
      <c r="R212" s="301">
        <f t="shared" si="38"/>
        <v>0</v>
      </c>
      <c r="S212" s="301">
        <f t="shared" si="38"/>
        <v>12.67</v>
      </c>
      <c r="T212" s="301">
        <f t="shared" si="38"/>
        <v>1.5699999999999998</v>
      </c>
    </row>
    <row r="213" spans="2:20" ht="15" customHeight="1">
      <c r="B213" s="401" t="s">
        <v>226</v>
      </c>
      <c r="C213" s="401"/>
      <c r="D213" s="401"/>
      <c r="E213" s="401"/>
      <c r="F213" s="182">
        <f>F212/F215</f>
        <v>7.9870129870129869E-2</v>
      </c>
      <c r="G213" s="182">
        <f t="shared" ref="G213:T213" si="39">G212/G215</f>
        <v>7.7215189873417717E-2</v>
      </c>
      <c r="H213" s="182">
        <f t="shared" si="39"/>
        <v>0.15889552238805968</v>
      </c>
      <c r="I213" s="182">
        <f t="shared" si="39"/>
        <v>0.12430212765957448</v>
      </c>
      <c r="J213" s="182">
        <f t="shared" si="39"/>
        <v>0.05</v>
      </c>
      <c r="K213" s="182">
        <f t="shared" si="39"/>
        <v>4.9999999999999996E-2</v>
      </c>
      <c r="L213" s="182">
        <f t="shared" si="39"/>
        <v>0.15033333333333332</v>
      </c>
      <c r="M213" s="182">
        <f t="shared" si="39"/>
        <v>8.5857142857142868E-2</v>
      </c>
      <c r="N213" s="182">
        <f t="shared" si="39"/>
        <v>4.4999999999999997E-3</v>
      </c>
      <c r="O213" s="182">
        <f t="shared" si="39"/>
        <v>2.2490909090909089E-2</v>
      </c>
      <c r="P213" s="182">
        <f t="shared" si="39"/>
        <v>5.8299999999999998E-2</v>
      </c>
      <c r="Q213" s="182">
        <f t="shared" si="39"/>
        <v>8.0000000000000004E-4</v>
      </c>
      <c r="R213" s="182">
        <f t="shared" si="39"/>
        <v>0</v>
      </c>
      <c r="S213" s="182">
        <f t="shared" si="39"/>
        <v>5.0680000000000003E-2</v>
      </c>
      <c r="T213" s="182">
        <f t="shared" si="39"/>
        <v>0.13083333333333333</v>
      </c>
    </row>
    <row r="214" spans="2:20" ht="15" customHeight="1">
      <c r="B214" s="401" t="s">
        <v>241</v>
      </c>
      <c r="C214" s="401"/>
      <c r="D214" s="401"/>
      <c r="E214" s="401"/>
      <c r="F214" s="302">
        <f>F212+F207+F196</f>
        <v>47.505000000000003</v>
      </c>
      <c r="G214" s="302">
        <f t="shared" ref="G214:T214" si="40">G212+G207+G196</f>
        <v>50.831000000000003</v>
      </c>
      <c r="H214" s="302">
        <f t="shared" si="40"/>
        <v>241.959</v>
      </c>
      <c r="I214" s="302">
        <f t="shared" si="40"/>
        <v>1590.69</v>
      </c>
      <c r="J214" s="302">
        <f t="shared" si="40"/>
        <v>0.7430000000000001</v>
      </c>
      <c r="K214" s="302">
        <f t="shared" si="40"/>
        <v>0.79200000000000004</v>
      </c>
      <c r="L214" s="302">
        <f t="shared" si="40"/>
        <v>110.363</v>
      </c>
      <c r="M214" s="302">
        <f t="shared" si="40"/>
        <v>2.2970999999999995</v>
      </c>
      <c r="N214" s="302">
        <f t="shared" si="40"/>
        <v>10.610000000000001</v>
      </c>
      <c r="O214" s="302">
        <f t="shared" si="40"/>
        <v>647.298</v>
      </c>
      <c r="P214" s="302">
        <f t="shared" si="40"/>
        <v>849.66100000000006</v>
      </c>
      <c r="Q214" s="302">
        <f t="shared" si="40"/>
        <v>4.9390000000000001</v>
      </c>
      <c r="R214" s="302">
        <f t="shared" si="40"/>
        <v>7.0000000000000007E-2</v>
      </c>
      <c r="S214" s="302">
        <f t="shared" si="40"/>
        <v>205.80700000000002</v>
      </c>
      <c r="T214" s="302">
        <f t="shared" si="40"/>
        <v>10.26</v>
      </c>
    </row>
    <row r="215" spans="2:20" ht="15" customHeight="1">
      <c r="B215" s="401" t="s">
        <v>242</v>
      </c>
      <c r="C215" s="401"/>
      <c r="D215" s="401"/>
      <c r="E215" s="401"/>
      <c r="F215" s="305">
        <v>77</v>
      </c>
      <c r="G215" s="305">
        <v>79</v>
      </c>
      <c r="H215" s="305">
        <v>335</v>
      </c>
      <c r="I215" s="305">
        <v>2350</v>
      </c>
      <c r="J215" s="305">
        <v>1.2</v>
      </c>
      <c r="K215" s="305">
        <v>1.4</v>
      </c>
      <c r="L215" s="305">
        <v>60</v>
      </c>
      <c r="M215" s="305">
        <v>0.7</v>
      </c>
      <c r="N215" s="305">
        <v>10</v>
      </c>
      <c r="O215" s="305">
        <v>1100</v>
      </c>
      <c r="P215" s="305">
        <v>1100</v>
      </c>
      <c r="Q215" s="305">
        <v>10</v>
      </c>
      <c r="R215" s="305">
        <v>0.1</v>
      </c>
      <c r="S215" s="305">
        <v>250</v>
      </c>
      <c r="T215" s="305">
        <v>12</v>
      </c>
    </row>
    <row r="216" spans="2:20" ht="15" customHeight="1">
      <c r="B216" s="401" t="s">
        <v>226</v>
      </c>
      <c r="C216" s="401"/>
      <c r="D216" s="401"/>
      <c r="E216" s="401"/>
      <c r="F216" s="182">
        <f>F214/F215</f>
        <v>0.61694805194805202</v>
      </c>
      <c r="G216" s="182">
        <f t="shared" ref="G216:T216" si="41">G214/G215</f>
        <v>0.64343037974683548</v>
      </c>
      <c r="H216" s="182">
        <f t="shared" si="41"/>
        <v>0.72226567164179101</v>
      </c>
      <c r="I216" s="182">
        <f t="shared" si="41"/>
        <v>0.67688936170212766</v>
      </c>
      <c r="J216" s="182">
        <f t="shared" si="41"/>
        <v>0.61916666666666675</v>
      </c>
      <c r="K216" s="182">
        <f t="shared" si="41"/>
        <v>0.56571428571428573</v>
      </c>
      <c r="L216" s="182">
        <f t="shared" si="41"/>
        <v>1.8393833333333334</v>
      </c>
      <c r="M216" s="182">
        <f t="shared" si="41"/>
        <v>3.2815714285714281</v>
      </c>
      <c r="N216" s="182">
        <f t="shared" si="41"/>
        <v>1.0610000000000002</v>
      </c>
      <c r="O216" s="182">
        <f t="shared" si="41"/>
        <v>0.58845272727272724</v>
      </c>
      <c r="P216" s="182">
        <f t="shared" si="41"/>
        <v>0.772419090909091</v>
      </c>
      <c r="Q216" s="182">
        <f t="shared" si="41"/>
        <v>0.49390000000000001</v>
      </c>
      <c r="R216" s="182">
        <f t="shared" si="41"/>
        <v>0.70000000000000007</v>
      </c>
      <c r="S216" s="182">
        <f t="shared" si="41"/>
        <v>0.82322800000000007</v>
      </c>
      <c r="T216" s="182">
        <f t="shared" si="41"/>
        <v>0.85499999999999998</v>
      </c>
    </row>
    <row r="217" spans="2:20">
      <c r="B217" s="401" t="s">
        <v>189</v>
      </c>
      <c r="C217" s="401"/>
      <c r="D217" s="266"/>
      <c r="E217" s="266"/>
      <c r="F217" s="266"/>
      <c r="G217" s="400" t="s">
        <v>244</v>
      </c>
      <c r="H217" s="400"/>
      <c r="I217" s="400"/>
      <c r="J217" s="266"/>
      <c r="K217" s="266"/>
      <c r="L217" s="401" t="s">
        <v>191</v>
      </c>
      <c r="M217" s="401"/>
      <c r="N217" s="400" t="s">
        <v>192</v>
      </c>
      <c r="O217" s="400"/>
      <c r="P217" s="400"/>
      <c r="Q217" s="400"/>
      <c r="R217" s="266"/>
      <c r="S217" s="266"/>
      <c r="T217" s="266"/>
    </row>
    <row r="218" spans="2:20">
      <c r="B218" s="266"/>
      <c r="C218" s="266"/>
      <c r="D218" s="266"/>
      <c r="E218" s="401" t="s">
        <v>194</v>
      </c>
      <c r="F218" s="401"/>
      <c r="G218" s="266">
        <v>2</v>
      </c>
      <c r="H218" s="266"/>
      <c r="I218" s="266"/>
      <c r="J218" s="266"/>
      <c r="K218" s="266"/>
      <c r="L218" s="401" t="s">
        <v>195</v>
      </c>
      <c r="M218" s="401"/>
      <c r="N218" s="400" t="s">
        <v>196</v>
      </c>
      <c r="O218" s="400"/>
      <c r="P218" s="400"/>
      <c r="Q218" s="400"/>
      <c r="R218" s="400"/>
      <c r="S218" s="400"/>
      <c r="T218" s="400"/>
    </row>
    <row r="219" spans="2:20">
      <c r="B219" s="265" t="s">
        <v>0</v>
      </c>
      <c r="C219" s="412" t="s">
        <v>198</v>
      </c>
      <c r="D219" s="412"/>
      <c r="E219" s="412" t="s">
        <v>199</v>
      </c>
      <c r="F219" s="412" t="s">
        <v>200</v>
      </c>
      <c r="G219" s="412"/>
      <c r="H219" s="412"/>
      <c r="I219" s="265" t="s">
        <v>201</v>
      </c>
      <c r="J219" s="412" t="s">
        <v>202</v>
      </c>
      <c r="K219" s="412"/>
      <c r="L219" s="412"/>
      <c r="M219" s="412"/>
      <c r="N219" s="412"/>
      <c r="O219" s="412" t="s">
        <v>203</v>
      </c>
      <c r="P219" s="412"/>
      <c r="Q219" s="412"/>
      <c r="R219" s="412"/>
      <c r="S219" s="412"/>
      <c r="T219" s="412"/>
    </row>
    <row r="220" spans="2:20" ht="51">
      <c r="B220" s="265" t="s">
        <v>245</v>
      </c>
      <c r="C220" s="412"/>
      <c r="D220" s="412"/>
      <c r="E220" s="412"/>
      <c r="F220" s="265" t="s">
        <v>204</v>
      </c>
      <c r="G220" s="265" t="s">
        <v>205</v>
      </c>
      <c r="H220" s="265" t="s">
        <v>206</v>
      </c>
      <c r="I220" s="265" t="s">
        <v>207</v>
      </c>
      <c r="J220" s="265" t="s">
        <v>208</v>
      </c>
      <c r="K220" s="265" t="s">
        <v>209</v>
      </c>
      <c r="L220" s="265" t="s">
        <v>210</v>
      </c>
      <c r="M220" s="265" t="s">
        <v>211</v>
      </c>
      <c r="N220" s="265" t="s">
        <v>212</v>
      </c>
      <c r="O220" s="265" t="s">
        <v>213</v>
      </c>
      <c r="P220" s="265" t="s">
        <v>214</v>
      </c>
      <c r="Q220" s="265" t="s">
        <v>215</v>
      </c>
      <c r="R220" s="265" t="s">
        <v>216</v>
      </c>
      <c r="S220" s="265" t="s">
        <v>217</v>
      </c>
      <c r="T220" s="265" t="s">
        <v>218</v>
      </c>
    </row>
    <row r="221" spans="2:20">
      <c r="B221" s="264">
        <v>1</v>
      </c>
      <c r="C221" s="407">
        <v>2</v>
      </c>
      <c r="D221" s="407"/>
      <c r="E221" s="264">
        <v>3</v>
      </c>
      <c r="F221" s="264">
        <v>4</v>
      </c>
      <c r="G221" s="264">
        <v>5</v>
      </c>
      <c r="H221" s="264">
        <v>6</v>
      </c>
      <c r="I221" s="264">
        <v>7</v>
      </c>
      <c r="J221" s="264">
        <v>8</v>
      </c>
      <c r="K221" s="264">
        <v>9</v>
      </c>
      <c r="L221" s="264">
        <v>10</v>
      </c>
      <c r="M221" s="264">
        <v>11</v>
      </c>
      <c r="N221" s="264">
        <v>12</v>
      </c>
      <c r="O221" s="264">
        <v>13</v>
      </c>
      <c r="P221" s="264">
        <v>14</v>
      </c>
      <c r="Q221" s="264">
        <v>15</v>
      </c>
      <c r="R221" s="264">
        <v>16</v>
      </c>
      <c r="S221" s="264">
        <v>17</v>
      </c>
      <c r="T221" s="264">
        <v>18</v>
      </c>
    </row>
    <row r="222" spans="2:20">
      <c r="B222" s="401" t="s">
        <v>219</v>
      </c>
      <c r="C222" s="401"/>
      <c r="D222" s="401"/>
      <c r="E222" s="401"/>
      <c r="F222" s="401"/>
      <c r="G222" s="401"/>
      <c r="H222" s="401"/>
      <c r="I222" s="401"/>
      <c r="J222" s="401"/>
      <c r="K222" s="401"/>
      <c r="L222" s="401"/>
      <c r="M222" s="401"/>
      <c r="N222" s="401"/>
      <c r="O222" s="401"/>
      <c r="P222" s="401"/>
      <c r="Q222" s="401"/>
      <c r="R222" s="401"/>
      <c r="S222" s="401"/>
      <c r="T222" s="401"/>
    </row>
    <row r="223" spans="2:20" ht="18.75" customHeight="1">
      <c r="B223" s="310" t="s">
        <v>344</v>
      </c>
      <c r="C223" s="436" t="s">
        <v>220</v>
      </c>
      <c r="D223" s="436"/>
      <c r="E223" s="310">
        <v>100</v>
      </c>
      <c r="F223" s="310">
        <v>0.4</v>
      </c>
      <c r="G223" s="310">
        <v>0.4</v>
      </c>
      <c r="H223" s="310">
        <v>9.8000000000000007</v>
      </c>
      <c r="I223" s="310">
        <v>42</v>
      </c>
      <c r="J223" s="310">
        <v>0.04</v>
      </c>
      <c r="K223" s="310">
        <v>0.02</v>
      </c>
      <c r="L223" s="310">
        <v>10</v>
      </c>
      <c r="M223" s="310">
        <v>0</v>
      </c>
      <c r="N223" s="310">
        <v>0.2</v>
      </c>
      <c r="O223" s="310">
        <v>16</v>
      </c>
      <c r="P223" s="310">
        <v>11</v>
      </c>
      <c r="Q223" s="310">
        <v>0</v>
      </c>
      <c r="R223" s="310">
        <v>0</v>
      </c>
      <c r="S223" s="310">
        <v>9</v>
      </c>
      <c r="T223" s="310">
        <v>2.2000000000000002</v>
      </c>
    </row>
    <row r="224" spans="2:20" s="188" customFormat="1" ht="27" customHeight="1">
      <c r="B224" s="303">
        <v>71</v>
      </c>
      <c r="C224" s="406" t="s">
        <v>343</v>
      </c>
      <c r="D224" s="406"/>
      <c r="E224" s="303">
        <v>40</v>
      </c>
      <c r="F224" s="303">
        <v>0.33</v>
      </c>
      <c r="G224" s="303">
        <v>0.04</v>
      </c>
      <c r="H224" s="303">
        <v>1.1299999999999999</v>
      </c>
      <c r="I224" s="303">
        <v>6.23</v>
      </c>
      <c r="J224" s="303">
        <v>8.9999999999999993E-3</v>
      </c>
      <c r="K224" s="303">
        <v>0.01</v>
      </c>
      <c r="L224" s="303">
        <v>3</v>
      </c>
      <c r="M224" s="303">
        <v>3.0000000000000001E-3</v>
      </c>
      <c r="N224" s="303">
        <v>0.03</v>
      </c>
      <c r="O224" s="303">
        <v>6.9</v>
      </c>
      <c r="P224" s="303">
        <v>12.6</v>
      </c>
      <c r="Q224" s="303">
        <v>6.4000000000000001E-2</v>
      </c>
      <c r="R224" s="303">
        <v>1E-3</v>
      </c>
      <c r="S224" s="303">
        <v>4.2</v>
      </c>
      <c r="T224" s="303">
        <v>0.18</v>
      </c>
    </row>
    <row r="225" spans="2:20" s="188" customFormat="1" ht="30" customHeight="1">
      <c r="B225" s="305">
        <v>392</v>
      </c>
      <c r="C225" s="437" t="s">
        <v>177</v>
      </c>
      <c r="D225" s="438"/>
      <c r="E225" s="305">
        <v>90</v>
      </c>
      <c r="F225" s="305">
        <v>9.9</v>
      </c>
      <c r="G225" s="305">
        <v>10.53</v>
      </c>
      <c r="H225" s="305">
        <v>7.02</v>
      </c>
      <c r="I225" s="305">
        <v>162</v>
      </c>
      <c r="J225" s="305">
        <v>0.05</v>
      </c>
      <c r="K225" s="305">
        <v>0</v>
      </c>
      <c r="L225" s="305">
        <v>0.09</v>
      </c>
      <c r="M225" s="305">
        <v>0.05</v>
      </c>
      <c r="N225" s="305"/>
      <c r="O225" s="305">
        <v>9</v>
      </c>
      <c r="P225" s="305">
        <v>90.9</v>
      </c>
      <c r="Q225" s="305">
        <v>0</v>
      </c>
      <c r="R225" s="305">
        <v>0</v>
      </c>
      <c r="S225" s="305">
        <v>11.7</v>
      </c>
      <c r="T225" s="305">
        <v>1.44</v>
      </c>
    </row>
    <row r="226" spans="2:20" s="188" customFormat="1" ht="25.5" customHeight="1">
      <c r="B226" s="305">
        <v>175</v>
      </c>
      <c r="C226" s="417" t="s">
        <v>179</v>
      </c>
      <c r="D226" s="417"/>
      <c r="E226" s="305">
        <v>150</v>
      </c>
      <c r="F226" s="305">
        <v>3.5</v>
      </c>
      <c r="G226" s="305">
        <v>5</v>
      </c>
      <c r="H226" s="305">
        <v>25.2</v>
      </c>
      <c r="I226" s="305">
        <v>152.80000000000001</v>
      </c>
      <c r="J226" s="305">
        <v>0.1</v>
      </c>
      <c r="K226" s="305">
        <v>0.1</v>
      </c>
      <c r="L226" s="305">
        <v>3.4</v>
      </c>
      <c r="M226" s="305">
        <v>3.6999999999999998E-2</v>
      </c>
      <c r="N226" s="305">
        <v>0</v>
      </c>
      <c r="O226" s="305">
        <v>127.4</v>
      </c>
      <c r="P226" s="305">
        <v>183.5</v>
      </c>
      <c r="Q226" s="305">
        <v>0</v>
      </c>
      <c r="R226" s="305">
        <v>0</v>
      </c>
      <c r="S226" s="305">
        <v>55.1</v>
      </c>
      <c r="T226" s="305">
        <v>0.3</v>
      </c>
    </row>
    <row r="227" spans="2:20" s="188" customFormat="1" ht="16.5" customHeight="1">
      <c r="B227" s="310">
        <v>376</v>
      </c>
      <c r="C227" s="406" t="s">
        <v>141</v>
      </c>
      <c r="D227" s="406"/>
      <c r="E227" s="310">
        <v>200</v>
      </c>
      <c r="F227" s="310">
        <v>0.2</v>
      </c>
      <c r="G227" s="310">
        <v>0.05</v>
      </c>
      <c r="H227" s="310">
        <v>15.01</v>
      </c>
      <c r="I227" s="310">
        <v>61</v>
      </c>
      <c r="J227" s="310">
        <v>0</v>
      </c>
      <c r="K227" s="310">
        <v>0.01</v>
      </c>
      <c r="L227" s="310">
        <v>9</v>
      </c>
      <c r="M227" s="310">
        <v>1E-4</v>
      </c>
      <c r="N227" s="310">
        <v>4.4999999999999998E-2</v>
      </c>
      <c r="O227" s="310">
        <v>5.25</v>
      </c>
      <c r="P227" s="310">
        <v>8.24</v>
      </c>
      <c r="Q227" s="310">
        <v>8.0000000000000002E-3</v>
      </c>
      <c r="R227" s="310">
        <v>0</v>
      </c>
      <c r="S227" s="310">
        <v>4.4000000000000004</v>
      </c>
      <c r="T227" s="310">
        <v>0.87</v>
      </c>
    </row>
    <row r="228" spans="2:20" ht="15" customHeight="1">
      <c r="B228" s="305" t="s">
        <v>224</v>
      </c>
      <c r="C228" s="417" t="s">
        <v>161</v>
      </c>
      <c r="D228" s="417"/>
      <c r="E228" s="305">
        <v>40</v>
      </c>
      <c r="F228" s="305">
        <v>3.04</v>
      </c>
      <c r="G228" s="305">
        <v>0.32</v>
      </c>
      <c r="H228" s="305">
        <v>19.68</v>
      </c>
      <c r="I228" s="305">
        <v>88.8</v>
      </c>
      <c r="J228" s="305">
        <v>0.04</v>
      </c>
      <c r="K228" s="305">
        <v>0.01</v>
      </c>
      <c r="L228" s="305">
        <v>0.88</v>
      </c>
      <c r="M228" s="305">
        <v>0</v>
      </c>
      <c r="N228" s="305">
        <v>0.7</v>
      </c>
      <c r="O228" s="305">
        <v>8</v>
      </c>
      <c r="P228" s="305">
        <v>26</v>
      </c>
      <c r="Q228" s="305">
        <v>8.0000000000000002E-3</v>
      </c>
      <c r="R228" s="305">
        <v>3.0000000000000001E-3</v>
      </c>
      <c r="S228" s="305">
        <v>0</v>
      </c>
      <c r="T228" s="305">
        <v>0.44</v>
      </c>
    </row>
    <row r="229" spans="2:20" ht="15" customHeight="1">
      <c r="B229" s="413" t="s">
        <v>251</v>
      </c>
      <c r="C229" s="414"/>
      <c r="D229" s="415"/>
      <c r="E229" s="302">
        <f>SUM(E224:E228)</f>
        <v>520</v>
      </c>
      <c r="F229" s="302">
        <f>SUM(F224:F228)</f>
        <v>16.97</v>
      </c>
      <c r="G229" s="302">
        <f t="shared" ref="G229:T229" si="42">SUM(G224:G228)</f>
        <v>15.94</v>
      </c>
      <c r="H229" s="302">
        <f t="shared" si="42"/>
        <v>68.039999999999992</v>
      </c>
      <c r="I229" s="302">
        <f t="shared" si="42"/>
        <v>470.83</v>
      </c>
      <c r="J229" s="302">
        <f t="shared" si="42"/>
        <v>0.19900000000000001</v>
      </c>
      <c r="K229" s="302">
        <f t="shared" si="42"/>
        <v>0.13</v>
      </c>
      <c r="L229" s="302">
        <f t="shared" si="42"/>
        <v>16.37</v>
      </c>
      <c r="M229" s="302">
        <f t="shared" si="42"/>
        <v>9.01E-2</v>
      </c>
      <c r="N229" s="302">
        <f t="shared" si="42"/>
        <v>0.77499999999999991</v>
      </c>
      <c r="O229" s="302">
        <f t="shared" si="42"/>
        <v>156.55000000000001</v>
      </c>
      <c r="P229" s="302">
        <f t="shared" si="42"/>
        <v>321.24</v>
      </c>
      <c r="Q229" s="302">
        <f t="shared" si="42"/>
        <v>8.0000000000000016E-2</v>
      </c>
      <c r="R229" s="302">
        <f t="shared" si="42"/>
        <v>4.0000000000000001E-3</v>
      </c>
      <c r="S229" s="302">
        <f t="shared" si="42"/>
        <v>75.400000000000006</v>
      </c>
      <c r="T229" s="302">
        <f t="shared" si="42"/>
        <v>3.23</v>
      </c>
    </row>
    <row r="230" spans="2:20" ht="15" customHeight="1">
      <c r="B230" s="401" t="s">
        <v>226</v>
      </c>
      <c r="C230" s="401"/>
      <c r="D230" s="401"/>
      <c r="E230" s="401"/>
      <c r="F230" s="182">
        <f t="shared" ref="F230:T230" si="43">F229/F247</f>
        <v>0.22038961038961039</v>
      </c>
      <c r="G230" s="182">
        <f t="shared" si="43"/>
        <v>0.20177215189873418</v>
      </c>
      <c r="H230" s="182">
        <f t="shared" si="43"/>
        <v>0.20310447761194028</v>
      </c>
      <c r="I230" s="182">
        <f t="shared" si="43"/>
        <v>0.2003531914893617</v>
      </c>
      <c r="J230" s="182">
        <f t="shared" si="43"/>
        <v>0.16583333333333336</v>
      </c>
      <c r="K230" s="182">
        <f t="shared" si="43"/>
        <v>9.285714285714286E-2</v>
      </c>
      <c r="L230" s="182">
        <f t="shared" si="43"/>
        <v>0.27283333333333337</v>
      </c>
      <c r="M230" s="182">
        <f t="shared" si="43"/>
        <v>0.12871428571428573</v>
      </c>
      <c r="N230" s="182">
        <f t="shared" si="43"/>
        <v>7.7499999999999986E-2</v>
      </c>
      <c r="O230" s="182">
        <f t="shared" si="43"/>
        <v>0.14231818181818182</v>
      </c>
      <c r="P230" s="182">
        <f t="shared" si="43"/>
        <v>0.29203636363636365</v>
      </c>
      <c r="Q230" s="182">
        <f t="shared" si="43"/>
        <v>8.0000000000000019E-3</v>
      </c>
      <c r="R230" s="182">
        <f t="shared" si="43"/>
        <v>0.04</v>
      </c>
      <c r="S230" s="182">
        <f t="shared" si="43"/>
        <v>0.30160000000000003</v>
      </c>
      <c r="T230" s="182">
        <f t="shared" si="43"/>
        <v>0.26916666666666667</v>
      </c>
    </row>
    <row r="231" spans="2:20" ht="15" customHeight="1">
      <c r="B231" s="401" t="s">
        <v>227</v>
      </c>
      <c r="C231" s="401"/>
      <c r="D231" s="401"/>
      <c r="E231" s="401"/>
      <c r="F231" s="401"/>
      <c r="G231" s="401"/>
      <c r="H231" s="401"/>
      <c r="I231" s="401"/>
      <c r="J231" s="401"/>
      <c r="K231" s="401"/>
      <c r="L231" s="401"/>
      <c r="M231" s="401"/>
      <c r="N231" s="401"/>
      <c r="O231" s="401"/>
      <c r="P231" s="401"/>
      <c r="Q231" s="401"/>
      <c r="R231" s="401"/>
      <c r="S231" s="401"/>
      <c r="T231" s="401"/>
    </row>
    <row r="232" spans="2:20" ht="28.5" customHeight="1">
      <c r="B232" s="305">
        <v>45</v>
      </c>
      <c r="C232" s="417" t="s">
        <v>306</v>
      </c>
      <c r="D232" s="417"/>
      <c r="E232" s="305">
        <v>60</v>
      </c>
      <c r="F232" s="305">
        <v>0.81</v>
      </c>
      <c r="G232" s="305">
        <v>3.7</v>
      </c>
      <c r="H232" s="305">
        <v>4.6100000000000003</v>
      </c>
      <c r="I232" s="305">
        <v>54.96</v>
      </c>
      <c r="J232" s="305">
        <v>0.03</v>
      </c>
      <c r="K232" s="305">
        <v>0.04</v>
      </c>
      <c r="L232" s="305">
        <v>7.95</v>
      </c>
      <c r="M232" s="305">
        <v>0.03</v>
      </c>
      <c r="N232" s="305"/>
      <c r="O232" s="305">
        <v>20.13</v>
      </c>
      <c r="P232" s="305">
        <v>24.1</v>
      </c>
      <c r="Q232" s="305"/>
      <c r="R232" s="305">
        <v>0</v>
      </c>
      <c r="S232" s="305">
        <v>12.81</v>
      </c>
      <c r="T232" s="305">
        <v>0.53</v>
      </c>
    </row>
    <row r="233" spans="2:20" ht="18.75" customHeight="1">
      <c r="B233" s="305">
        <v>113</v>
      </c>
      <c r="C233" s="417" t="s">
        <v>307</v>
      </c>
      <c r="D233" s="417"/>
      <c r="E233" s="305" t="s">
        <v>308</v>
      </c>
      <c r="F233" s="305">
        <v>6.9</v>
      </c>
      <c r="G233" s="305">
        <v>6.95</v>
      </c>
      <c r="H233" s="305">
        <v>18.760000000000002</v>
      </c>
      <c r="I233" s="305">
        <v>165.2</v>
      </c>
      <c r="J233" s="305">
        <v>0.18</v>
      </c>
      <c r="K233" s="305">
        <v>0.17</v>
      </c>
      <c r="L233" s="305">
        <v>4.2</v>
      </c>
      <c r="M233" s="305">
        <v>0.82</v>
      </c>
      <c r="N233" s="305">
        <v>0.3</v>
      </c>
      <c r="O233" s="305">
        <v>34.700000000000003</v>
      </c>
      <c r="P233" s="305">
        <v>75.88</v>
      </c>
      <c r="Q233" s="305">
        <v>0.1</v>
      </c>
      <c r="R233" s="305">
        <v>0</v>
      </c>
      <c r="S233" s="305">
        <v>14.5</v>
      </c>
      <c r="T233" s="305">
        <v>0.99</v>
      </c>
    </row>
    <row r="234" spans="2:20" ht="15" customHeight="1">
      <c r="B234" s="305">
        <v>293</v>
      </c>
      <c r="C234" s="417" t="s">
        <v>309</v>
      </c>
      <c r="D234" s="417"/>
      <c r="E234" s="305">
        <v>90</v>
      </c>
      <c r="F234" s="305">
        <v>19</v>
      </c>
      <c r="G234" s="305">
        <v>10.87</v>
      </c>
      <c r="H234" s="305">
        <v>0.17</v>
      </c>
      <c r="I234" s="305">
        <v>174.53</v>
      </c>
      <c r="J234" s="305">
        <v>0.09</v>
      </c>
      <c r="K234" s="305">
        <v>0.17</v>
      </c>
      <c r="L234" s="305">
        <v>0.02</v>
      </c>
      <c r="M234" s="305">
        <v>0</v>
      </c>
      <c r="N234" s="305">
        <v>0</v>
      </c>
      <c r="O234" s="305">
        <v>19.5</v>
      </c>
      <c r="P234" s="305">
        <v>1.6</v>
      </c>
      <c r="Q234" s="305">
        <v>0</v>
      </c>
      <c r="R234" s="305">
        <v>0</v>
      </c>
      <c r="S234" s="305">
        <v>17.079999999999998</v>
      </c>
      <c r="T234" s="305">
        <v>1.86</v>
      </c>
    </row>
    <row r="235" spans="2:20" ht="30" customHeight="1">
      <c r="B235" s="305">
        <v>139</v>
      </c>
      <c r="C235" s="417" t="s">
        <v>310</v>
      </c>
      <c r="D235" s="417"/>
      <c r="E235" s="305">
        <v>150</v>
      </c>
      <c r="F235" s="305">
        <v>2.77</v>
      </c>
      <c r="G235" s="305">
        <v>4.84</v>
      </c>
      <c r="H235" s="305">
        <v>10.78</v>
      </c>
      <c r="I235" s="305">
        <v>97.76</v>
      </c>
      <c r="J235" s="305">
        <v>0.64</v>
      </c>
      <c r="K235" s="305">
        <v>0.13</v>
      </c>
      <c r="L235" s="305">
        <v>0.16</v>
      </c>
      <c r="M235" s="305">
        <v>2.5000000000000001E-2</v>
      </c>
      <c r="N235" s="305">
        <v>0.01</v>
      </c>
      <c r="O235" s="305">
        <v>73.05</v>
      </c>
      <c r="P235" s="305">
        <v>54</v>
      </c>
      <c r="Q235" s="305">
        <v>3.5</v>
      </c>
      <c r="R235" s="305">
        <v>1.7000000000000001E-2</v>
      </c>
      <c r="S235" s="305">
        <v>27.75</v>
      </c>
      <c r="T235" s="305">
        <v>1.0900000000000001</v>
      </c>
    </row>
    <row r="236" spans="2:20" ht="19.5" customHeight="1">
      <c r="B236" s="305">
        <v>349</v>
      </c>
      <c r="C236" s="417" t="s">
        <v>311</v>
      </c>
      <c r="D236" s="417"/>
      <c r="E236" s="305">
        <v>200</v>
      </c>
      <c r="F236" s="305">
        <v>0.22</v>
      </c>
      <c r="G236" s="305"/>
      <c r="H236" s="305">
        <v>24.42</v>
      </c>
      <c r="I236" s="305">
        <v>98.56</v>
      </c>
      <c r="J236" s="305"/>
      <c r="K236" s="305"/>
      <c r="L236" s="305">
        <v>0.2</v>
      </c>
      <c r="M236" s="305"/>
      <c r="N236" s="305"/>
      <c r="O236" s="305">
        <v>22.6</v>
      </c>
      <c r="P236" s="305">
        <v>7.7</v>
      </c>
      <c r="Q236" s="305">
        <v>0</v>
      </c>
      <c r="R236" s="305">
        <v>0</v>
      </c>
      <c r="S236" s="305">
        <v>3</v>
      </c>
      <c r="T236" s="305">
        <v>0.66</v>
      </c>
    </row>
    <row r="237" spans="2:20" ht="15" customHeight="1">
      <c r="B237" s="305" t="s">
        <v>224</v>
      </c>
      <c r="C237" s="417" t="s">
        <v>235</v>
      </c>
      <c r="D237" s="417"/>
      <c r="E237" s="305">
        <v>40</v>
      </c>
      <c r="F237" s="305">
        <v>2.64</v>
      </c>
      <c r="G237" s="305">
        <v>0.48</v>
      </c>
      <c r="H237" s="305">
        <v>13.68</v>
      </c>
      <c r="I237" s="305">
        <v>69.599999999999994</v>
      </c>
      <c r="J237" s="305">
        <v>0.08</v>
      </c>
      <c r="K237" s="305">
        <v>0.04</v>
      </c>
      <c r="L237" s="305">
        <v>0</v>
      </c>
      <c r="M237" s="305">
        <v>0</v>
      </c>
      <c r="N237" s="305">
        <v>2.4</v>
      </c>
      <c r="O237" s="305">
        <v>14</v>
      </c>
      <c r="P237" s="305">
        <v>63.2</v>
      </c>
      <c r="Q237" s="305">
        <v>1.2</v>
      </c>
      <c r="R237" s="305">
        <v>1E-3</v>
      </c>
      <c r="S237" s="305">
        <v>9.4</v>
      </c>
      <c r="T237" s="305">
        <v>0.78</v>
      </c>
    </row>
    <row r="238" spans="2:20" ht="27" customHeight="1">
      <c r="B238" s="305" t="s">
        <v>224</v>
      </c>
      <c r="C238" s="417" t="s">
        <v>117</v>
      </c>
      <c r="D238" s="417"/>
      <c r="E238" s="305">
        <v>30</v>
      </c>
      <c r="F238" s="305">
        <v>1.52</v>
      </c>
      <c r="G238" s="305">
        <v>0.16</v>
      </c>
      <c r="H238" s="305">
        <v>9.84</v>
      </c>
      <c r="I238" s="305">
        <v>46.9</v>
      </c>
      <c r="J238" s="305">
        <v>0.02</v>
      </c>
      <c r="K238" s="305">
        <v>0.01</v>
      </c>
      <c r="L238" s="305">
        <v>0.44</v>
      </c>
      <c r="M238" s="305">
        <v>0</v>
      </c>
      <c r="N238" s="305">
        <v>0.7</v>
      </c>
      <c r="O238" s="305">
        <v>4</v>
      </c>
      <c r="P238" s="305">
        <v>13</v>
      </c>
      <c r="Q238" s="305">
        <v>8.0000000000000002E-3</v>
      </c>
      <c r="R238" s="305">
        <v>1E-3</v>
      </c>
      <c r="S238" s="305">
        <v>0</v>
      </c>
      <c r="T238" s="305">
        <v>0.22</v>
      </c>
    </row>
    <row r="239" spans="2:20" ht="18" customHeight="1">
      <c r="B239" s="401" t="s">
        <v>236</v>
      </c>
      <c r="C239" s="401"/>
      <c r="D239" s="401"/>
      <c r="E239" s="302">
        <f>E232+E234+E235+E236+E237+E238+210</f>
        <v>780</v>
      </c>
      <c r="F239" s="302">
        <f>SUM(F232:F238)</f>
        <v>33.86</v>
      </c>
      <c r="G239" s="302">
        <f t="shared" ref="G239:T239" si="44">SUM(G232:G238)</f>
        <v>27</v>
      </c>
      <c r="H239" s="302">
        <f t="shared" si="44"/>
        <v>82.26</v>
      </c>
      <c r="I239" s="302">
        <f t="shared" si="44"/>
        <v>707.51</v>
      </c>
      <c r="J239" s="302">
        <f t="shared" si="44"/>
        <v>1.04</v>
      </c>
      <c r="K239" s="302">
        <f t="shared" si="44"/>
        <v>0.56000000000000005</v>
      </c>
      <c r="L239" s="302">
        <f t="shared" si="44"/>
        <v>12.969999999999999</v>
      </c>
      <c r="M239" s="302">
        <f t="shared" si="44"/>
        <v>0.875</v>
      </c>
      <c r="N239" s="302">
        <f t="shared" si="44"/>
        <v>3.41</v>
      </c>
      <c r="O239" s="302">
        <f t="shared" si="44"/>
        <v>187.98</v>
      </c>
      <c r="P239" s="302">
        <f t="shared" si="44"/>
        <v>239.47999999999996</v>
      </c>
      <c r="Q239" s="302">
        <f t="shared" si="44"/>
        <v>4.8079999999999998</v>
      </c>
      <c r="R239" s="302">
        <f t="shared" si="44"/>
        <v>1.9000000000000003E-2</v>
      </c>
      <c r="S239" s="302">
        <f t="shared" si="44"/>
        <v>84.54</v>
      </c>
      <c r="T239" s="302">
        <f t="shared" si="44"/>
        <v>6.13</v>
      </c>
    </row>
    <row r="240" spans="2:20" ht="18" customHeight="1">
      <c r="B240" s="401" t="s">
        <v>226</v>
      </c>
      <c r="C240" s="401"/>
      <c r="D240" s="401"/>
      <c r="E240" s="401"/>
      <c r="F240" s="182">
        <f>F239/F247</f>
        <v>0.43974025974025971</v>
      </c>
      <c r="G240" s="182">
        <v>0.33900000000000002</v>
      </c>
      <c r="H240" s="182">
        <v>0.252</v>
      </c>
      <c r="I240" s="182">
        <v>0.30499999999999999</v>
      </c>
      <c r="J240" s="182">
        <v>0.876</v>
      </c>
      <c r="K240" s="182">
        <v>0.39500000000000002</v>
      </c>
      <c r="L240" s="182">
        <v>0.22700000000000001</v>
      </c>
      <c r="M240" s="183">
        <v>2.2639999999999998</v>
      </c>
      <c r="N240" s="182">
        <v>0.36099999999999999</v>
      </c>
      <c r="O240" s="182">
        <v>0.17399999999999999</v>
      </c>
      <c r="P240" s="182">
        <v>0.22700000000000001</v>
      </c>
      <c r="Q240" s="182">
        <v>0.48199999999999998</v>
      </c>
      <c r="R240" s="182">
        <v>0.6</v>
      </c>
      <c r="S240" s="182">
        <v>0.34899999999999998</v>
      </c>
      <c r="T240" s="182">
        <v>0.52500000000000002</v>
      </c>
    </row>
    <row r="241" spans="2:20" ht="15" customHeight="1">
      <c r="B241" s="401" t="s">
        <v>237</v>
      </c>
      <c r="C241" s="401"/>
      <c r="D241" s="401"/>
      <c r="E241" s="401"/>
      <c r="F241" s="401"/>
      <c r="G241" s="401"/>
      <c r="H241" s="401"/>
      <c r="I241" s="401"/>
      <c r="J241" s="401"/>
      <c r="K241" s="401"/>
      <c r="L241" s="401"/>
      <c r="M241" s="401"/>
      <c r="N241" s="401"/>
      <c r="O241" s="401"/>
      <c r="P241" s="401"/>
      <c r="Q241" s="401"/>
      <c r="R241" s="401"/>
      <c r="S241" s="401"/>
      <c r="T241" s="401"/>
    </row>
    <row r="242" spans="2:20" ht="19.5" customHeight="1">
      <c r="B242" s="310" t="s">
        <v>224</v>
      </c>
      <c r="C242" s="406" t="s">
        <v>238</v>
      </c>
      <c r="D242" s="406"/>
      <c r="E242" s="310">
        <v>100</v>
      </c>
      <c r="F242" s="310">
        <v>7.86</v>
      </c>
      <c r="G242" s="310">
        <v>5.57</v>
      </c>
      <c r="H242" s="310">
        <v>53.71</v>
      </c>
      <c r="I242" s="310">
        <v>297.14</v>
      </c>
      <c r="J242" s="310">
        <v>0.1</v>
      </c>
      <c r="K242" s="310">
        <v>0.04</v>
      </c>
      <c r="L242" s="310">
        <v>0</v>
      </c>
      <c r="M242" s="310">
        <v>0.1</v>
      </c>
      <c r="N242" s="310"/>
      <c r="O242" s="310">
        <v>16.170000000000002</v>
      </c>
      <c r="P242" s="310">
        <v>0</v>
      </c>
      <c r="Q242" s="310">
        <v>0</v>
      </c>
      <c r="R242" s="310">
        <v>0</v>
      </c>
      <c r="S242" s="310">
        <v>11.19</v>
      </c>
      <c r="T242" s="310">
        <v>0.9</v>
      </c>
    </row>
    <row r="243" spans="2:20" ht="25.5" customHeight="1">
      <c r="B243" s="310">
        <v>349</v>
      </c>
      <c r="C243" s="406" t="s">
        <v>239</v>
      </c>
      <c r="D243" s="406"/>
      <c r="E243" s="310">
        <v>200</v>
      </c>
      <c r="F243" s="310">
        <v>0.22</v>
      </c>
      <c r="G243" s="310">
        <v>0</v>
      </c>
      <c r="H243" s="310">
        <v>24.42</v>
      </c>
      <c r="I243" s="310">
        <v>98.56</v>
      </c>
      <c r="J243" s="310"/>
      <c r="K243" s="310"/>
      <c r="L243" s="310">
        <v>0.2</v>
      </c>
      <c r="M243" s="310"/>
      <c r="N243" s="310"/>
      <c r="O243" s="310">
        <v>22.6</v>
      </c>
      <c r="P243" s="310">
        <v>7.7</v>
      </c>
      <c r="Q243" s="310">
        <v>0</v>
      </c>
      <c r="R243" s="310">
        <v>0</v>
      </c>
      <c r="S243" s="310">
        <v>3</v>
      </c>
      <c r="T243" s="310">
        <v>0.66</v>
      </c>
    </row>
    <row r="244" spans="2:20" ht="18" customHeight="1">
      <c r="B244" s="413" t="s">
        <v>240</v>
      </c>
      <c r="C244" s="414"/>
      <c r="D244" s="415"/>
      <c r="E244" s="301">
        <f>E242+E243</f>
        <v>300</v>
      </c>
      <c r="F244" s="301">
        <f t="shared" ref="F244:T244" si="45">F242+F243</f>
        <v>8.08</v>
      </c>
      <c r="G244" s="301">
        <f t="shared" si="45"/>
        <v>5.57</v>
      </c>
      <c r="H244" s="301">
        <f t="shared" si="45"/>
        <v>78.13</v>
      </c>
      <c r="I244" s="301">
        <f t="shared" si="45"/>
        <v>395.7</v>
      </c>
      <c r="J244" s="301">
        <f t="shared" si="45"/>
        <v>0.1</v>
      </c>
      <c r="K244" s="301">
        <f t="shared" si="45"/>
        <v>0.04</v>
      </c>
      <c r="L244" s="301">
        <f t="shared" si="45"/>
        <v>0.2</v>
      </c>
      <c r="M244" s="301">
        <f t="shared" si="45"/>
        <v>0.1</v>
      </c>
      <c r="N244" s="301">
        <f t="shared" si="45"/>
        <v>0</v>
      </c>
      <c r="O244" s="301">
        <f t="shared" si="45"/>
        <v>38.770000000000003</v>
      </c>
      <c r="P244" s="301">
        <f t="shared" si="45"/>
        <v>7.7</v>
      </c>
      <c r="Q244" s="301">
        <f t="shared" si="45"/>
        <v>0</v>
      </c>
      <c r="R244" s="301">
        <f t="shared" si="45"/>
        <v>0</v>
      </c>
      <c r="S244" s="301">
        <f t="shared" si="45"/>
        <v>14.19</v>
      </c>
      <c r="T244" s="301">
        <f t="shared" si="45"/>
        <v>1.56</v>
      </c>
    </row>
    <row r="245" spans="2:20" ht="15" customHeight="1">
      <c r="B245" s="401" t="s">
        <v>226</v>
      </c>
      <c r="C245" s="401"/>
      <c r="D245" s="401"/>
      <c r="E245" s="401"/>
      <c r="F245" s="182">
        <f>F244/F247</f>
        <v>0.10493506493506494</v>
      </c>
      <c r="G245" s="182">
        <f t="shared" ref="G245:T245" si="46">G244/G247</f>
        <v>7.0506329113924057E-2</v>
      </c>
      <c r="H245" s="182">
        <f t="shared" si="46"/>
        <v>0.2332238805970149</v>
      </c>
      <c r="I245" s="182">
        <f t="shared" si="46"/>
        <v>0.16838297872340424</v>
      </c>
      <c r="J245" s="182">
        <f t="shared" si="46"/>
        <v>8.3333333333333343E-2</v>
      </c>
      <c r="K245" s="182">
        <f t="shared" si="46"/>
        <v>2.8571428571428574E-2</v>
      </c>
      <c r="L245" s="182">
        <f t="shared" si="46"/>
        <v>3.3333333333333335E-3</v>
      </c>
      <c r="M245" s="182">
        <f t="shared" si="46"/>
        <v>0.14285714285714288</v>
      </c>
      <c r="N245" s="182">
        <f t="shared" si="46"/>
        <v>0</v>
      </c>
      <c r="O245" s="182">
        <f t="shared" si="46"/>
        <v>3.5245454545454545E-2</v>
      </c>
      <c r="P245" s="182">
        <f t="shared" si="46"/>
        <v>7.0000000000000001E-3</v>
      </c>
      <c r="Q245" s="182">
        <f t="shared" si="46"/>
        <v>0</v>
      </c>
      <c r="R245" s="182">
        <f t="shared" si="46"/>
        <v>0</v>
      </c>
      <c r="S245" s="182">
        <f t="shared" si="46"/>
        <v>5.6759999999999998E-2</v>
      </c>
      <c r="T245" s="182">
        <f t="shared" si="46"/>
        <v>0.13</v>
      </c>
    </row>
    <row r="246" spans="2:20" ht="15" customHeight="1">
      <c r="B246" s="401" t="s">
        <v>241</v>
      </c>
      <c r="C246" s="401"/>
      <c r="D246" s="401"/>
      <c r="E246" s="401"/>
      <c r="F246" s="302">
        <f>F244+F239+F229</f>
        <v>58.91</v>
      </c>
      <c r="G246" s="302">
        <f t="shared" ref="G246:T246" si="47">G244+G239+G229</f>
        <v>48.51</v>
      </c>
      <c r="H246" s="302">
        <f t="shared" si="47"/>
        <v>228.42999999999998</v>
      </c>
      <c r="I246" s="302">
        <f t="shared" si="47"/>
        <v>1574.04</v>
      </c>
      <c r="J246" s="302">
        <f t="shared" si="47"/>
        <v>1.3390000000000002</v>
      </c>
      <c r="K246" s="302">
        <f t="shared" si="47"/>
        <v>0.73000000000000009</v>
      </c>
      <c r="L246" s="302">
        <f t="shared" si="47"/>
        <v>29.54</v>
      </c>
      <c r="M246" s="302">
        <f t="shared" si="47"/>
        <v>1.0650999999999999</v>
      </c>
      <c r="N246" s="302">
        <f t="shared" si="47"/>
        <v>4.1850000000000005</v>
      </c>
      <c r="O246" s="302">
        <f t="shared" si="47"/>
        <v>383.3</v>
      </c>
      <c r="P246" s="302">
        <f t="shared" si="47"/>
        <v>568.41999999999996</v>
      </c>
      <c r="Q246" s="302">
        <f t="shared" si="47"/>
        <v>4.8879999999999999</v>
      </c>
      <c r="R246" s="302">
        <f t="shared" si="47"/>
        <v>2.3000000000000003E-2</v>
      </c>
      <c r="S246" s="302">
        <f t="shared" si="47"/>
        <v>174.13</v>
      </c>
      <c r="T246" s="302">
        <f t="shared" si="47"/>
        <v>10.92</v>
      </c>
    </row>
    <row r="247" spans="2:20" ht="15" customHeight="1">
      <c r="B247" s="401" t="s">
        <v>242</v>
      </c>
      <c r="C247" s="401"/>
      <c r="D247" s="401"/>
      <c r="E247" s="401"/>
      <c r="F247" s="305">
        <v>77</v>
      </c>
      <c r="G247" s="305">
        <v>79</v>
      </c>
      <c r="H247" s="305">
        <v>335</v>
      </c>
      <c r="I247" s="305">
        <v>2350</v>
      </c>
      <c r="J247" s="305">
        <v>1.2</v>
      </c>
      <c r="K247" s="305">
        <v>1.4</v>
      </c>
      <c r="L247" s="305">
        <v>60</v>
      </c>
      <c r="M247" s="305">
        <v>0.7</v>
      </c>
      <c r="N247" s="305">
        <v>10</v>
      </c>
      <c r="O247" s="305">
        <v>1100</v>
      </c>
      <c r="P247" s="305">
        <v>1100</v>
      </c>
      <c r="Q247" s="305">
        <v>10</v>
      </c>
      <c r="R247" s="305">
        <v>0.1</v>
      </c>
      <c r="S247" s="305">
        <v>250</v>
      </c>
      <c r="T247" s="305">
        <v>12</v>
      </c>
    </row>
    <row r="248" spans="2:20">
      <c r="B248" s="401" t="s">
        <v>226</v>
      </c>
      <c r="C248" s="401"/>
      <c r="D248" s="401"/>
      <c r="E248" s="401"/>
      <c r="F248" s="182">
        <f>F246/F247</f>
        <v>0.765064935064935</v>
      </c>
      <c r="G248" s="182">
        <f t="shared" ref="G248:T248" si="48">G246/G247</f>
        <v>0.61405063291139239</v>
      </c>
      <c r="H248" s="182">
        <f t="shared" si="48"/>
        <v>0.68188059701492532</v>
      </c>
      <c r="I248" s="182">
        <f t="shared" si="48"/>
        <v>0.66980425531914889</v>
      </c>
      <c r="J248" s="182">
        <f t="shared" si="48"/>
        <v>1.1158333333333335</v>
      </c>
      <c r="K248" s="182">
        <f t="shared" si="48"/>
        <v>0.52142857142857157</v>
      </c>
      <c r="L248" s="182">
        <f t="shared" si="48"/>
        <v>0.49233333333333335</v>
      </c>
      <c r="M248" s="182">
        <f t="shared" si="48"/>
        <v>1.5215714285714286</v>
      </c>
      <c r="N248" s="182">
        <f t="shared" si="48"/>
        <v>0.41850000000000004</v>
      </c>
      <c r="O248" s="182">
        <f t="shared" si="48"/>
        <v>0.34845454545454546</v>
      </c>
      <c r="P248" s="182">
        <f t="shared" si="48"/>
        <v>0.51674545454545451</v>
      </c>
      <c r="Q248" s="182">
        <f t="shared" si="48"/>
        <v>0.48880000000000001</v>
      </c>
      <c r="R248" s="182">
        <f t="shared" si="48"/>
        <v>0.23</v>
      </c>
      <c r="S248" s="182">
        <f t="shared" si="48"/>
        <v>0.69652000000000003</v>
      </c>
      <c r="T248" s="182">
        <f t="shared" si="48"/>
        <v>0.91</v>
      </c>
    </row>
    <row r="249" spans="2:20">
      <c r="B249" s="401" t="s">
        <v>312</v>
      </c>
      <c r="C249" s="401"/>
      <c r="D249" s="401"/>
      <c r="E249" s="401"/>
      <c r="F249" s="401"/>
      <c r="G249" s="401"/>
      <c r="H249" s="401"/>
      <c r="I249" s="401"/>
      <c r="J249" s="401"/>
      <c r="K249" s="401"/>
      <c r="L249" s="401"/>
      <c r="M249" s="401"/>
      <c r="N249" s="401"/>
      <c r="O249" s="401"/>
      <c r="P249" s="401"/>
      <c r="Q249" s="401"/>
      <c r="R249" s="401"/>
      <c r="S249" s="401"/>
      <c r="T249" s="401"/>
    </row>
    <row r="250" spans="2:20">
      <c r="B250" s="401" t="s">
        <v>261</v>
      </c>
      <c r="C250" s="401"/>
      <c r="D250" s="266"/>
      <c r="E250" s="266"/>
      <c r="F250" s="266"/>
      <c r="G250" s="400" t="s">
        <v>262</v>
      </c>
      <c r="H250" s="400"/>
      <c r="I250" s="400"/>
      <c r="J250" s="266"/>
      <c r="K250" s="266"/>
      <c r="L250" s="401" t="s">
        <v>191</v>
      </c>
      <c r="M250" s="401"/>
      <c r="N250" s="400" t="s">
        <v>192</v>
      </c>
      <c r="O250" s="400"/>
      <c r="P250" s="400"/>
      <c r="Q250" s="400"/>
      <c r="R250" s="266"/>
      <c r="S250" s="266"/>
      <c r="T250" s="266"/>
    </row>
    <row r="251" spans="2:20">
      <c r="B251" s="266"/>
      <c r="C251" s="266"/>
      <c r="D251" s="266"/>
      <c r="E251" s="401" t="s">
        <v>194</v>
      </c>
      <c r="F251" s="401"/>
      <c r="G251" s="266">
        <v>2</v>
      </c>
      <c r="H251" s="266"/>
      <c r="I251" s="266"/>
      <c r="J251" s="266"/>
      <c r="K251" s="266"/>
      <c r="L251" s="401" t="s">
        <v>195</v>
      </c>
      <c r="M251" s="401"/>
      <c r="N251" s="400" t="s">
        <v>196</v>
      </c>
      <c r="O251" s="400"/>
      <c r="P251" s="400"/>
      <c r="Q251" s="400"/>
      <c r="R251" s="400"/>
      <c r="S251" s="400"/>
      <c r="T251" s="400"/>
    </row>
    <row r="252" spans="2:20">
      <c r="B252" s="265" t="s">
        <v>0</v>
      </c>
      <c r="C252" s="412" t="s">
        <v>198</v>
      </c>
      <c r="D252" s="412"/>
      <c r="E252" s="412" t="s">
        <v>199</v>
      </c>
      <c r="F252" s="412" t="s">
        <v>200</v>
      </c>
      <c r="G252" s="412"/>
      <c r="H252" s="412"/>
      <c r="I252" s="265" t="s">
        <v>201</v>
      </c>
      <c r="J252" s="412" t="s">
        <v>202</v>
      </c>
      <c r="K252" s="412"/>
      <c r="L252" s="412"/>
      <c r="M252" s="412"/>
      <c r="N252" s="412"/>
      <c r="O252" s="412" t="s">
        <v>203</v>
      </c>
      <c r="P252" s="412"/>
      <c r="Q252" s="412"/>
      <c r="R252" s="412"/>
      <c r="S252" s="412"/>
      <c r="T252" s="412"/>
    </row>
    <row r="253" spans="2:20" ht="51">
      <c r="B253" s="265" t="s">
        <v>245</v>
      </c>
      <c r="C253" s="412"/>
      <c r="D253" s="412"/>
      <c r="E253" s="412"/>
      <c r="F253" s="265" t="s">
        <v>204</v>
      </c>
      <c r="G253" s="265" t="s">
        <v>205</v>
      </c>
      <c r="H253" s="265" t="s">
        <v>206</v>
      </c>
      <c r="I253" s="265" t="s">
        <v>207</v>
      </c>
      <c r="J253" s="265" t="s">
        <v>208</v>
      </c>
      <c r="K253" s="265" t="s">
        <v>209</v>
      </c>
      <c r="L253" s="265" t="s">
        <v>210</v>
      </c>
      <c r="M253" s="265" t="s">
        <v>211</v>
      </c>
      <c r="N253" s="265" t="s">
        <v>212</v>
      </c>
      <c r="O253" s="265" t="s">
        <v>213</v>
      </c>
      <c r="P253" s="265" t="s">
        <v>214</v>
      </c>
      <c r="Q253" s="265" t="s">
        <v>215</v>
      </c>
      <c r="R253" s="265" t="s">
        <v>216</v>
      </c>
      <c r="S253" s="265" t="s">
        <v>217</v>
      </c>
      <c r="T253" s="265" t="s">
        <v>218</v>
      </c>
    </row>
    <row r="254" spans="2:20">
      <c r="B254" s="264">
        <v>1</v>
      </c>
      <c r="C254" s="407">
        <v>2</v>
      </c>
      <c r="D254" s="407"/>
      <c r="E254" s="264">
        <v>3</v>
      </c>
      <c r="F254" s="264">
        <v>4</v>
      </c>
      <c r="G254" s="264">
        <v>5</v>
      </c>
      <c r="H254" s="264">
        <v>6</v>
      </c>
      <c r="I254" s="264">
        <v>7</v>
      </c>
      <c r="J254" s="264">
        <v>8</v>
      </c>
      <c r="K254" s="264">
        <v>9</v>
      </c>
      <c r="L254" s="264">
        <v>10</v>
      </c>
      <c r="M254" s="264">
        <v>11</v>
      </c>
      <c r="N254" s="264">
        <v>12</v>
      </c>
      <c r="O254" s="264">
        <v>13</v>
      </c>
      <c r="P254" s="264">
        <v>14</v>
      </c>
      <c r="Q254" s="264">
        <v>15</v>
      </c>
      <c r="R254" s="264">
        <v>16</v>
      </c>
      <c r="S254" s="264">
        <v>17</v>
      </c>
      <c r="T254" s="264">
        <v>18</v>
      </c>
    </row>
    <row r="255" spans="2:20">
      <c r="B255" s="401" t="s">
        <v>246</v>
      </c>
      <c r="C255" s="401"/>
      <c r="D255" s="401"/>
      <c r="E255" s="401"/>
      <c r="F255" s="401"/>
      <c r="G255" s="401"/>
      <c r="H255" s="401"/>
      <c r="I255" s="401"/>
      <c r="J255" s="401"/>
      <c r="K255" s="401"/>
      <c r="L255" s="401"/>
      <c r="M255" s="401"/>
      <c r="N255" s="401"/>
      <c r="O255" s="401"/>
      <c r="P255" s="401"/>
      <c r="Q255" s="401"/>
      <c r="R255" s="401"/>
      <c r="S255" s="401"/>
      <c r="T255" s="401"/>
    </row>
    <row r="256" spans="2:20" ht="17.25" customHeight="1">
      <c r="B256" s="181" t="s">
        <v>264</v>
      </c>
      <c r="C256" s="427" t="s">
        <v>265</v>
      </c>
      <c r="D256" s="427"/>
      <c r="E256" s="305">
        <v>30</v>
      </c>
      <c r="F256" s="305">
        <v>0.15</v>
      </c>
      <c r="G256" s="305">
        <v>0</v>
      </c>
      <c r="H256" s="305">
        <v>17.850000000000001</v>
      </c>
      <c r="I256" s="305">
        <v>71.7</v>
      </c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</row>
    <row r="257" spans="2:20" s="173" customFormat="1" ht="30" customHeight="1">
      <c r="B257" s="310">
        <v>222</v>
      </c>
      <c r="C257" s="406" t="s">
        <v>181</v>
      </c>
      <c r="D257" s="406"/>
      <c r="E257" s="310">
        <v>170</v>
      </c>
      <c r="F257" s="310">
        <v>15.23</v>
      </c>
      <c r="G257" s="310">
        <v>17.5</v>
      </c>
      <c r="H257" s="310">
        <v>36.700000000000003</v>
      </c>
      <c r="I257" s="310">
        <v>355.9</v>
      </c>
      <c r="J257" s="310">
        <v>0.09</v>
      </c>
      <c r="K257" s="310">
        <v>0.3</v>
      </c>
      <c r="L257" s="310">
        <v>0.48</v>
      </c>
      <c r="M257" s="310">
        <v>0.22</v>
      </c>
      <c r="N257" s="310">
        <v>1.8</v>
      </c>
      <c r="O257" s="310">
        <v>143.69999999999999</v>
      </c>
      <c r="P257" s="310">
        <v>290.60000000000002</v>
      </c>
      <c r="Q257" s="310">
        <v>2.2000000000000002</v>
      </c>
      <c r="R257" s="310">
        <v>8.0000000000000002E-3</v>
      </c>
      <c r="S257" s="310">
        <v>48.51</v>
      </c>
      <c r="T257" s="310">
        <v>1.31</v>
      </c>
    </row>
    <row r="258" spans="2:20" ht="15.75" customHeight="1">
      <c r="B258" s="305">
        <v>376</v>
      </c>
      <c r="C258" s="417" t="s">
        <v>141</v>
      </c>
      <c r="D258" s="417"/>
      <c r="E258" s="305">
        <v>200</v>
      </c>
      <c r="F258" s="305">
        <v>0.2</v>
      </c>
      <c r="G258" s="305">
        <v>0.05</v>
      </c>
      <c r="H258" s="305">
        <v>15.01</v>
      </c>
      <c r="I258" s="305">
        <v>61</v>
      </c>
      <c r="J258" s="305">
        <v>0</v>
      </c>
      <c r="K258" s="305">
        <v>0.01</v>
      </c>
      <c r="L258" s="305">
        <v>9</v>
      </c>
      <c r="M258" s="305">
        <v>1E-4</v>
      </c>
      <c r="N258" s="305">
        <v>4.4999999999999998E-2</v>
      </c>
      <c r="O258" s="305">
        <v>5.25</v>
      </c>
      <c r="P258" s="305">
        <v>8.24</v>
      </c>
      <c r="Q258" s="305">
        <v>8.0000000000000002E-3</v>
      </c>
      <c r="R258" s="305">
        <v>0</v>
      </c>
      <c r="S258" s="305">
        <v>4.4000000000000004</v>
      </c>
      <c r="T258" s="305">
        <v>0.87</v>
      </c>
    </row>
    <row r="259" spans="2:20" ht="18" customHeight="1">
      <c r="B259" s="305" t="s">
        <v>224</v>
      </c>
      <c r="C259" s="417" t="s">
        <v>302</v>
      </c>
      <c r="D259" s="417"/>
      <c r="E259" s="305">
        <v>40</v>
      </c>
      <c r="F259" s="305">
        <v>2.67</v>
      </c>
      <c r="G259" s="305">
        <v>0.53</v>
      </c>
      <c r="H259" s="305">
        <v>13.73</v>
      </c>
      <c r="I259" s="305">
        <v>70.400000000000006</v>
      </c>
      <c r="J259" s="305">
        <v>0.13</v>
      </c>
      <c r="K259" s="305">
        <v>1.2999999999999999E-2</v>
      </c>
      <c r="L259" s="305">
        <v>0.1</v>
      </c>
      <c r="M259" s="305">
        <v>0</v>
      </c>
      <c r="N259" s="305">
        <v>0.93</v>
      </c>
      <c r="O259" s="305">
        <v>14</v>
      </c>
      <c r="P259" s="305">
        <v>63.2</v>
      </c>
      <c r="Q259" s="305">
        <v>1.2999999999999999E-2</v>
      </c>
      <c r="R259" s="305">
        <v>1.2999999999999999E-2</v>
      </c>
      <c r="S259" s="305">
        <v>18.8</v>
      </c>
      <c r="T259" s="305">
        <v>1.6</v>
      </c>
    </row>
    <row r="260" spans="2:20" ht="15" customHeight="1">
      <c r="B260" s="401" t="s">
        <v>225</v>
      </c>
      <c r="C260" s="401"/>
      <c r="D260" s="401"/>
      <c r="E260" s="302">
        <f t="shared" ref="E260:T260" si="49">SUM(E256:E259)</f>
        <v>440</v>
      </c>
      <c r="F260" s="302">
        <f t="shared" si="49"/>
        <v>18.25</v>
      </c>
      <c r="G260" s="302">
        <f t="shared" si="49"/>
        <v>18.080000000000002</v>
      </c>
      <c r="H260" s="302">
        <f t="shared" si="49"/>
        <v>83.29</v>
      </c>
      <c r="I260" s="302">
        <f t="shared" si="49"/>
        <v>559</v>
      </c>
      <c r="J260" s="302">
        <f t="shared" si="49"/>
        <v>0.22</v>
      </c>
      <c r="K260" s="302">
        <f t="shared" si="49"/>
        <v>0.32300000000000001</v>
      </c>
      <c r="L260" s="302">
        <f t="shared" si="49"/>
        <v>9.58</v>
      </c>
      <c r="M260" s="302">
        <f t="shared" si="49"/>
        <v>0.22009999999999999</v>
      </c>
      <c r="N260" s="302">
        <f t="shared" si="49"/>
        <v>2.7749999999999999</v>
      </c>
      <c r="O260" s="302">
        <f t="shared" si="49"/>
        <v>162.94999999999999</v>
      </c>
      <c r="P260" s="302">
        <f t="shared" si="49"/>
        <v>362.04</v>
      </c>
      <c r="Q260" s="302">
        <f t="shared" si="49"/>
        <v>2.2210000000000001</v>
      </c>
      <c r="R260" s="302">
        <f t="shared" si="49"/>
        <v>2.0999999999999998E-2</v>
      </c>
      <c r="S260" s="302">
        <f t="shared" si="49"/>
        <v>71.709999999999994</v>
      </c>
      <c r="T260" s="302">
        <f t="shared" si="49"/>
        <v>3.7800000000000002</v>
      </c>
    </row>
    <row r="261" spans="2:20" ht="15" customHeight="1">
      <c r="B261" s="401" t="s">
        <v>226</v>
      </c>
      <c r="C261" s="401"/>
      <c r="D261" s="401"/>
      <c r="E261" s="401"/>
      <c r="F261" s="182">
        <f t="shared" ref="F261:T261" si="50">F260/F278</f>
        <v>0.23701298701298701</v>
      </c>
      <c r="G261" s="182">
        <f t="shared" si="50"/>
        <v>0.22886075949367091</v>
      </c>
      <c r="H261" s="182">
        <f t="shared" si="50"/>
        <v>0.2486268656716418</v>
      </c>
      <c r="I261" s="182">
        <f t="shared" si="50"/>
        <v>0.2378723404255319</v>
      </c>
      <c r="J261" s="182">
        <f t="shared" si="50"/>
        <v>0.18333333333333335</v>
      </c>
      <c r="K261" s="182">
        <f t="shared" si="50"/>
        <v>0.23071428571428573</v>
      </c>
      <c r="L261" s="182">
        <f t="shared" si="50"/>
        <v>0.15966666666666668</v>
      </c>
      <c r="M261" s="183">
        <f t="shared" si="50"/>
        <v>0.31442857142857145</v>
      </c>
      <c r="N261" s="182">
        <f t="shared" si="50"/>
        <v>0.27749999999999997</v>
      </c>
      <c r="O261" s="182">
        <f t="shared" si="50"/>
        <v>0.14813636363636362</v>
      </c>
      <c r="P261" s="182">
        <f t="shared" si="50"/>
        <v>0.32912727272727277</v>
      </c>
      <c r="Q261" s="182">
        <f t="shared" si="50"/>
        <v>0.22210000000000002</v>
      </c>
      <c r="R261" s="182">
        <f t="shared" si="50"/>
        <v>0.20999999999999996</v>
      </c>
      <c r="S261" s="182">
        <f t="shared" si="50"/>
        <v>0.28683999999999998</v>
      </c>
      <c r="T261" s="182">
        <f t="shared" si="50"/>
        <v>0.315</v>
      </c>
    </row>
    <row r="262" spans="2:20" ht="15" customHeight="1">
      <c r="B262" s="401" t="s">
        <v>227</v>
      </c>
      <c r="C262" s="401"/>
      <c r="D262" s="401"/>
      <c r="E262" s="401"/>
      <c r="F262" s="401"/>
      <c r="G262" s="401"/>
      <c r="H262" s="401"/>
      <c r="I262" s="401"/>
      <c r="J262" s="401"/>
      <c r="K262" s="401"/>
      <c r="L262" s="401"/>
      <c r="M262" s="401"/>
      <c r="N262" s="401"/>
      <c r="O262" s="401"/>
      <c r="P262" s="401"/>
      <c r="Q262" s="401"/>
      <c r="R262" s="401"/>
      <c r="S262" s="401"/>
      <c r="T262" s="401"/>
    </row>
    <row r="263" spans="2:20" s="185" customFormat="1" ht="16.5" customHeight="1">
      <c r="B263" s="305" t="s">
        <v>313</v>
      </c>
      <c r="C263" s="417" t="s">
        <v>314</v>
      </c>
      <c r="D263" s="417"/>
      <c r="E263" s="305">
        <v>60</v>
      </c>
      <c r="F263" s="305">
        <v>0.76</v>
      </c>
      <c r="G263" s="305">
        <v>1.73</v>
      </c>
      <c r="H263" s="305">
        <v>4.26</v>
      </c>
      <c r="I263" s="305">
        <v>34.17</v>
      </c>
      <c r="J263" s="305">
        <v>0.03</v>
      </c>
      <c r="K263" s="305">
        <v>0</v>
      </c>
      <c r="L263" s="305">
        <v>2.41</v>
      </c>
      <c r="M263" s="305">
        <v>0.03</v>
      </c>
      <c r="N263" s="305"/>
      <c r="O263" s="305">
        <v>18.489999999999998</v>
      </c>
      <c r="P263" s="305">
        <v>31.36</v>
      </c>
      <c r="Q263" s="305"/>
      <c r="R263" s="305">
        <v>0</v>
      </c>
      <c r="S263" s="305">
        <v>20.5</v>
      </c>
      <c r="T263" s="305">
        <v>0.04</v>
      </c>
    </row>
    <row r="264" spans="2:20" s="185" customFormat="1" ht="16.5" customHeight="1">
      <c r="B264" s="305">
        <v>71</v>
      </c>
      <c r="C264" s="417" t="s">
        <v>173</v>
      </c>
      <c r="D264" s="417"/>
      <c r="E264" s="305">
        <v>60</v>
      </c>
      <c r="F264" s="305">
        <v>0.6</v>
      </c>
      <c r="G264" s="305">
        <v>2.7</v>
      </c>
      <c r="H264" s="305">
        <v>8.6999999999999993</v>
      </c>
      <c r="I264" s="305">
        <v>60</v>
      </c>
      <c r="J264" s="305">
        <v>0.01</v>
      </c>
      <c r="K264" s="305">
        <v>0.02</v>
      </c>
      <c r="L264" s="305">
        <v>2.2999999999999998</v>
      </c>
      <c r="M264" s="305">
        <v>0.01</v>
      </c>
      <c r="N264" s="305"/>
      <c r="O264" s="305">
        <v>12.29</v>
      </c>
      <c r="P264" s="305">
        <v>0</v>
      </c>
      <c r="Q264" s="305"/>
      <c r="R264" s="305">
        <v>0</v>
      </c>
      <c r="S264" s="305">
        <v>7.02</v>
      </c>
      <c r="T264" s="305">
        <v>0.32</v>
      </c>
    </row>
    <row r="265" spans="2:20" ht="19.5" customHeight="1">
      <c r="B265" s="305" t="s">
        <v>289</v>
      </c>
      <c r="C265" s="417" t="s">
        <v>315</v>
      </c>
      <c r="D265" s="417"/>
      <c r="E265" s="305">
        <v>200</v>
      </c>
      <c r="F265" s="305">
        <v>2.1</v>
      </c>
      <c r="G265" s="305">
        <v>2.1</v>
      </c>
      <c r="H265" s="305">
        <v>15.5</v>
      </c>
      <c r="I265" s="305">
        <v>90</v>
      </c>
      <c r="J265" s="305">
        <v>0.08</v>
      </c>
      <c r="K265" s="305">
        <v>0.04</v>
      </c>
      <c r="L265" s="305">
        <v>5.6</v>
      </c>
      <c r="M265" s="305">
        <v>0.08</v>
      </c>
      <c r="N265" s="305"/>
      <c r="O265" s="305">
        <v>12.64</v>
      </c>
      <c r="P265" s="305">
        <v>0</v>
      </c>
      <c r="Q265" s="305"/>
      <c r="R265" s="305">
        <v>0</v>
      </c>
      <c r="S265" s="305">
        <v>19.2</v>
      </c>
      <c r="T265" s="305">
        <v>0.72</v>
      </c>
    </row>
    <row r="266" spans="2:20" ht="18.75" customHeight="1">
      <c r="B266" s="305">
        <v>259</v>
      </c>
      <c r="C266" s="417" t="s">
        <v>316</v>
      </c>
      <c r="D266" s="417"/>
      <c r="E266" s="305">
        <v>240</v>
      </c>
      <c r="F266" s="305">
        <v>22.22</v>
      </c>
      <c r="G266" s="305">
        <v>24.82</v>
      </c>
      <c r="H266" s="305">
        <v>22.73</v>
      </c>
      <c r="I266" s="305">
        <v>404.57</v>
      </c>
      <c r="J266" s="305">
        <v>0.17</v>
      </c>
      <c r="K266" s="305">
        <v>0.24</v>
      </c>
      <c r="L266" s="305">
        <v>9.26</v>
      </c>
      <c r="M266" s="305">
        <v>0.17</v>
      </c>
      <c r="N266" s="305"/>
      <c r="O266" s="305">
        <v>41.83</v>
      </c>
      <c r="P266" s="305">
        <v>282.17</v>
      </c>
      <c r="Q266" s="305"/>
      <c r="R266" s="305">
        <v>0</v>
      </c>
      <c r="S266" s="305">
        <v>58.25</v>
      </c>
      <c r="T266" s="305">
        <v>5.3</v>
      </c>
    </row>
    <row r="267" spans="2:20" ht="18.75" customHeight="1">
      <c r="B267" s="305">
        <v>377</v>
      </c>
      <c r="C267" s="417" t="s">
        <v>149</v>
      </c>
      <c r="D267" s="417"/>
      <c r="E267" s="305" t="s">
        <v>234</v>
      </c>
      <c r="F267" s="305">
        <v>0.26</v>
      </c>
      <c r="G267" s="305">
        <v>0.06</v>
      </c>
      <c r="H267" s="305">
        <v>15.22</v>
      </c>
      <c r="I267" s="305">
        <v>62.5</v>
      </c>
      <c r="J267" s="305"/>
      <c r="K267" s="305">
        <v>0.01</v>
      </c>
      <c r="L267" s="305">
        <v>2.9</v>
      </c>
      <c r="M267" s="305">
        <v>0</v>
      </c>
      <c r="N267" s="305">
        <v>0.06</v>
      </c>
      <c r="O267" s="305">
        <v>8.0500000000000007</v>
      </c>
      <c r="P267" s="305">
        <v>9.7799999999999994</v>
      </c>
      <c r="Q267" s="305">
        <v>1.7000000000000001E-2</v>
      </c>
      <c r="R267" s="305">
        <v>0</v>
      </c>
      <c r="S267" s="305">
        <v>5.24</v>
      </c>
      <c r="T267" s="305">
        <v>0.87</v>
      </c>
    </row>
    <row r="268" spans="2:20" ht="15" customHeight="1">
      <c r="B268" s="305" t="s">
        <v>224</v>
      </c>
      <c r="C268" s="417" t="s">
        <v>235</v>
      </c>
      <c r="D268" s="417"/>
      <c r="E268" s="305">
        <v>40</v>
      </c>
      <c r="F268" s="305">
        <v>2.64</v>
      </c>
      <c r="G268" s="305">
        <v>0.48</v>
      </c>
      <c r="H268" s="305">
        <v>13.68</v>
      </c>
      <c r="I268" s="305">
        <v>69.599999999999994</v>
      </c>
      <c r="J268" s="305">
        <v>0.08</v>
      </c>
      <c r="K268" s="305">
        <v>0.04</v>
      </c>
      <c r="L268" s="305">
        <v>0</v>
      </c>
      <c r="M268" s="305">
        <v>0</v>
      </c>
      <c r="N268" s="305">
        <v>2.4</v>
      </c>
      <c r="O268" s="305">
        <v>14</v>
      </c>
      <c r="P268" s="305">
        <v>63.2</v>
      </c>
      <c r="Q268" s="305">
        <v>1.2</v>
      </c>
      <c r="R268" s="305">
        <v>1E-3</v>
      </c>
      <c r="S268" s="305">
        <v>9.4</v>
      </c>
      <c r="T268" s="305">
        <v>0.78</v>
      </c>
    </row>
    <row r="269" spans="2:20" ht="18.75" customHeight="1">
      <c r="B269" s="305" t="s">
        <v>224</v>
      </c>
      <c r="C269" s="417" t="s">
        <v>117</v>
      </c>
      <c r="D269" s="417"/>
      <c r="E269" s="305">
        <v>30</v>
      </c>
      <c r="F269" s="305">
        <v>1.52</v>
      </c>
      <c r="G269" s="305">
        <v>0.16</v>
      </c>
      <c r="H269" s="305">
        <v>9.84</v>
      </c>
      <c r="I269" s="305">
        <v>46.9</v>
      </c>
      <c r="J269" s="305">
        <v>0.02</v>
      </c>
      <c r="K269" s="305">
        <v>0.01</v>
      </c>
      <c r="L269" s="305">
        <v>0.44</v>
      </c>
      <c r="M269" s="305">
        <v>0</v>
      </c>
      <c r="N269" s="305">
        <v>0.7</v>
      </c>
      <c r="O269" s="305">
        <v>4</v>
      </c>
      <c r="P269" s="305">
        <v>13</v>
      </c>
      <c r="Q269" s="305">
        <v>8.0000000000000002E-3</v>
      </c>
      <c r="R269" s="305">
        <v>1E-3</v>
      </c>
      <c r="S269" s="305">
        <v>0</v>
      </c>
      <c r="T269" s="305">
        <v>0.22</v>
      </c>
    </row>
    <row r="270" spans="2:20" ht="15" customHeight="1">
      <c r="B270" s="401" t="s">
        <v>236</v>
      </c>
      <c r="C270" s="401"/>
      <c r="D270" s="401"/>
      <c r="E270" s="302">
        <f>E264+E265+E266+E268+E269+204</f>
        <v>774</v>
      </c>
      <c r="F270" s="302">
        <f>F264+F265+F266+F267+F268+F269</f>
        <v>29.34</v>
      </c>
      <c r="G270" s="302">
        <f t="shared" ref="G270:T270" si="51">G264+G265+G266+G267+G268+G269</f>
        <v>30.32</v>
      </c>
      <c r="H270" s="302">
        <f t="shared" si="51"/>
        <v>85.67</v>
      </c>
      <c r="I270" s="302">
        <f t="shared" si="51"/>
        <v>733.56999999999994</v>
      </c>
      <c r="J270" s="302">
        <f t="shared" si="51"/>
        <v>0.36000000000000004</v>
      </c>
      <c r="K270" s="302">
        <f t="shared" si="51"/>
        <v>0.36</v>
      </c>
      <c r="L270" s="302">
        <f t="shared" si="51"/>
        <v>20.5</v>
      </c>
      <c r="M270" s="302">
        <f t="shared" si="51"/>
        <v>0.26</v>
      </c>
      <c r="N270" s="302">
        <f t="shared" si="51"/>
        <v>3.16</v>
      </c>
      <c r="O270" s="302">
        <f t="shared" si="51"/>
        <v>92.809999999999988</v>
      </c>
      <c r="P270" s="302">
        <f t="shared" si="51"/>
        <v>368.15</v>
      </c>
      <c r="Q270" s="302">
        <f t="shared" si="51"/>
        <v>1.2249999999999999</v>
      </c>
      <c r="R270" s="302">
        <f t="shared" si="51"/>
        <v>2E-3</v>
      </c>
      <c r="S270" s="302">
        <f t="shared" si="51"/>
        <v>99.11</v>
      </c>
      <c r="T270" s="302">
        <f t="shared" si="51"/>
        <v>8.2100000000000009</v>
      </c>
    </row>
    <row r="271" spans="2:20" ht="23.25" customHeight="1">
      <c r="B271" s="401" t="s">
        <v>226</v>
      </c>
      <c r="C271" s="401"/>
      <c r="D271" s="401"/>
      <c r="E271" s="401"/>
      <c r="F271" s="182">
        <f t="shared" ref="F271:T271" si="52">F270/F278</f>
        <v>0.38103896103896101</v>
      </c>
      <c r="G271" s="182">
        <f t="shared" si="52"/>
        <v>0.3837974683544304</v>
      </c>
      <c r="H271" s="182">
        <f t="shared" si="52"/>
        <v>0.2557313432835821</v>
      </c>
      <c r="I271" s="182">
        <f t="shared" si="52"/>
        <v>0.3121574468085106</v>
      </c>
      <c r="J271" s="182">
        <f t="shared" si="52"/>
        <v>0.30000000000000004</v>
      </c>
      <c r="K271" s="182">
        <f t="shared" si="52"/>
        <v>0.25714285714285717</v>
      </c>
      <c r="L271" s="182">
        <f t="shared" si="52"/>
        <v>0.34166666666666667</v>
      </c>
      <c r="M271" s="182">
        <f t="shared" si="52"/>
        <v>0.37142857142857144</v>
      </c>
      <c r="N271" s="182">
        <f t="shared" si="52"/>
        <v>0.316</v>
      </c>
      <c r="O271" s="182">
        <f t="shared" si="52"/>
        <v>8.4372727272727266E-2</v>
      </c>
      <c r="P271" s="182">
        <f t="shared" si="52"/>
        <v>0.33468181818181814</v>
      </c>
      <c r="Q271" s="182">
        <f t="shared" si="52"/>
        <v>0.12249999999999998</v>
      </c>
      <c r="R271" s="182">
        <f t="shared" si="52"/>
        <v>0.02</v>
      </c>
      <c r="S271" s="182">
        <f t="shared" si="52"/>
        <v>0.39644000000000001</v>
      </c>
      <c r="T271" s="182">
        <f t="shared" si="52"/>
        <v>0.6841666666666667</v>
      </c>
    </row>
    <row r="272" spans="2:20" ht="15" customHeight="1">
      <c r="B272" s="401" t="s">
        <v>237</v>
      </c>
      <c r="C272" s="401"/>
      <c r="D272" s="401"/>
      <c r="E272" s="401"/>
      <c r="F272" s="401"/>
      <c r="G272" s="401"/>
      <c r="H272" s="401"/>
      <c r="I272" s="401"/>
      <c r="J272" s="401"/>
      <c r="K272" s="401"/>
      <c r="L272" s="401"/>
      <c r="M272" s="401"/>
      <c r="N272" s="401"/>
      <c r="O272" s="401"/>
      <c r="P272" s="401"/>
      <c r="Q272" s="401"/>
      <c r="R272" s="401"/>
      <c r="S272" s="401"/>
      <c r="T272" s="401"/>
    </row>
    <row r="273" spans="2:20" ht="15" customHeight="1">
      <c r="B273" s="310" t="s">
        <v>224</v>
      </c>
      <c r="C273" s="406" t="s">
        <v>274</v>
      </c>
      <c r="D273" s="406"/>
      <c r="E273" s="310">
        <v>100</v>
      </c>
      <c r="F273" s="310">
        <v>13.08</v>
      </c>
      <c r="G273" s="310">
        <v>6.06</v>
      </c>
      <c r="H273" s="310">
        <v>49.58</v>
      </c>
      <c r="I273" s="310">
        <v>306</v>
      </c>
      <c r="J273" s="310">
        <v>0.14000000000000001</v>
      </c>
      <c r="K273" s="310">
        <v>0.18</v>
      </c>
      <c r="L273" s="310">
        <v>0.18</v>
      </c>
      <c r="M273" s="310">
        <v>0.14000000000000001</v>
      </c>
      <c r="N273" s="310"/>
      <c r="O273" s="310">
        <v>75.8</v>
      </c>
      <c r="P273" s="310">
        <v>140</v>
      </c>
      <c r="Q273" s="310"/>
      <c r="R273" s="310">
        <v>0</v>
      </c>
      <c r="S273" s="310">
        <v>34.6</v>
      </c>
      <c r="T273" s="310">
        <v>1.52</v>
      </c>
    </row>
    <row r="274" spans="2:20" ht="15" customHeight="1">
      <c r="B274" s="310">
        <v>349</v>
      </c>
      <c r="C274" s="406" t="s">
        <v>239</v>
      </c>
      <c r="D274" s="406"/>
      <c r="E274" s="310">
        <v>200</v>
      </c>
      <c r="F274" s="310">
        <v>0.22</v>
      </c>
      <c r="G274" s="310">
        <v>0</v>
      </c>
      <c r="H274" s="310">
        <v>24.42</v>
      </c>
      <c r="I274" s="310">
        <v>98.56</v>
      </c>
      <c r="J274" s="310"/>
      <c r="K274" s="310"/>
      <c r="L274" s="310">
        <v>0.2</v>
      </c>
      <c r="M274" s="310"/>
      <c r="N274" s="310"/>
      <c r="O274" s="310">
        <v>22.6</v>
      </c>
      <c r="P274" s="310">
        <v>7.7</v>
      </c>
      <c r="Q274" s="310">
        <v>0</v>
      </c>
      <c r="R274" s="310">
        <v>0</v>
      </c>
      <c r="S274" s="310">
        <v>3</v>
      </c>
      <c r="T274" s="310">
        <v>0.66</v>
      </c>
    </row>
    <row r="275" spans="2:20" ht="21" customHeight="1">
      <c r="B275" s="413" t="s">
        <v>240</v>
      </c>
      <c r="C275" s="414"/>
      <c r="D275" s="415"/>
      <c r="E275" s="301">
        <f>SUM(E273:E274)</f>
        <v>300</v>
      </c>
      <c r="F275" s="301">
        <f t="shared" ref="F275:T275" si="53">SUM(F273:F274)</f>
        <v>13.3</v>
      </c>
      <c r="G275" s="301">
        <f t="shared" si="53"/>
        <v>6.06</v>
      </c>
      <c r="H275" s="301">
        <f t="shared" si="53"/>
        <v>74</v>
      </c>
      <c r="I275" s="301">
        <f t="shared" si="53"/>
        <v>404.56</v>
      </c>
      <c r="J275" s="301">
        <f t="shared" si="53"/>
        <v>0.14000000000000001</v>
      </c>
      <c r="K275" s="301">
        <f t="shared" si="53"/>
        <v>0.18</v>
      </c>
      <c r="L275" s="301">
        <f t="shared" si="53"/>
        <v>0.38</v>
      </c>
      <c r="M275" s="301">
        <f t="shared" si="53"/>
        <v>0.14000000000000001</v>
      </c>
      <c r="N275" s="301">
        <f t="shared" si="53"/>
        <v>0</v>
      </c>
      <c r="O275" s="301">
        <f t="shared" si="53"/>
        <v>98.4</v>
      </c>
      <c r="P275" s="301">
        <f t="shared" si="53"/>
        <v>147.69999999999999</v>
      </c>
      <c r="Q275" s="301">
        <f t="shared" si="53"/>
        <v>0</v>
      </c>
      <c r="R275" s="301">
        <f t="shared" si="53"/>
        <v>0</v>
      </c>
      <c r="S275" s="301">
        <f t="shared" si="53"/>
        <v>37.6</v>
      </c>
      <c r="T275" s="301">
        <f t="shared" si="53"/>
        <v>2.1800000000000002</v>
      </c>
    </row>
    <row r="276" spans="2:20" ht="25.5" customHeight="1">
      <c r="B276" s="401" t="s">
        <v>226</v>
      </c>
      <c r="C276" s="401"/>
      <c r="D276" s="401"/>
      <c r="E276" s="401"/>
      <c r="F276" s="182">
        <f>F275/F278</f>
        <v>0.17272727272727273</v>
      </c>
      <c r="G276" s="182">
        <f t="shared" ref="G276:T276" si="54">G275/G278</f>
        <v>7.6708860759493666E-2</v>
      </c>
      <c r="H276" s="182">
        <f t="shared" si="54"/>
        <v>0.22089552238805971</v>
      </c>
      <c r="I276" s="182">
        <f t="shared" si="54"/>
        <v>0.1721531914893617</v>
      </c>
      <c r="J276" s="182">
        <f t="shared" si="54"/>
        <v>0.11666666666666668</v>
      </c>
      <c r="K276" s="182">
        <f t="shared" si="54"/>
        <v>0.12857142857142859</v>
      </c>
      <c r="L276" s="182">
        <f t="shared" si="54"/>
        <v>6.3333333333333332E-3</v>
      </c>
      <c r="M276" s="182">
        <f t="shared" si="54"/>
        <v>0.20000000000000004</v>
      </c>
      <c r="N276" s="182">
        <f t="shared" si="54"/>
        <v>0</v>
      </c>
      <c r="O276" s="182">
        <f t="shared" si="54"/>
        <v>8.9454545454545453E-2</v>
      </c>
      <c r="P276" s="182">
        <f t="shared" si="54"/>
        <v>0.13427272727272727</v>
      </c>
      <c r="Q276" s="182">
        <f t="shared" si="54"/>
        <v>0</v>
      </c>
      <c r="R276" s="182">
        <f t="shared" si="54"/>
        <v>0</v>
      </c>
      <c r="S276" s="182">
        <f t="shared" si="54"/>
        <v>0.15040000000000001</v>
      </c>
      <c r="T276" s="182">
        <f t="shared" si="54"/>
        <v>0.18166666666666667</v>
      </c>
    </row>
    <row r="277" spans="2:20" ht="15" customHeight="1">
      <c r="B277" s="401" t="s">
        <v>241</v>
      </c>
      <c r="C277" s="401"/>
      <c r="D277" s="401"/>
      <c r="E277" s="401"/>
      <c r="F277" s="302">
        <f>F275+F270+F260</f>
        <v>60.89</v>
      </c>
      <c r="G277" s="302">
        <f t="shared" ref="G277:T277" si="55">G275+G270+G260</f>
        <v>54.460000000000008</v>
      </c>
      <c r="H277" s="302">
        <f t="shared" si="55"/>
        <v>242.96000000000004</v>
      </c>
      <c r="I277" s="302">
        <f t="shared" si="55"/>
        <v>1697.1299999999999</v>
      </c>
      <c r="J277" s="302">
        <f t="shared" si="55"/>
        <v>0.72</v>
      </c>
      <c r="K277" s="302">
        <f t="shared" si="55"/>
        <v>0.86299999999999999</v>
      </c>
      <c r="L277" s="302">
        <f t="shared" si="55"/>
        <v>30.46</v>
      </c>
      <c r="M277" s="302">
        <f t="shared" si="55"/>
        <v>0.62009999999999998</v>
      </c>
      <c r="N277" s="302">
        <f t="shared" si="55"/>
        <v>5.9350000000000005</v>
      </c>
      <c r="O277" s="302">
        <f t="shared" si="55"/>
        <v>354.15999999999997</v>
      </c>
      <c r="P277" s="302">
        <f t="shared" si="55"/>
        <v>877.88999999999987</v>
      </c>
      <c r="Q277" s="302">
        <f t="shared" si="55"/>
        <v>3.4459999999999997</v>
      </c>
      <c r="R277" s="302">
        <f t="shared" si="55"/>
        <v>2.3E-2</v>
      </c>
      <c r="S277" s="302">
        <f t="shared" si="55"/>
        <v>208.42000000000002</v>
      </c>
      <c r="T277" s="302">
        <f t="shared" si="55"/>
        <v>14.170000000000002</v>
      </c>
    </row>
    <row r="278" spans="2:20" ht="15" customHeight="1">
      <c r="B278" s="401" t="s">
        <v>242</v>
      </c>
      <c r="C278" s="401"/>
      <c r="D278" s="401"/>
      <c r="E278" s="401"/>
      <c r="F278" s="305">
        <v>77</v>
      </c>
      <c r="G278" s="305">
        <v>79</v>
      </c>
      <c r="H278" s="305">
        <v>335</v>
      </c>
      <c r="I278" s="305">
        <v>2350</v>
      </c>
      <c r="J278" s="305">
        <v>1.2</v>
      </c>
      <c r="K278" s="305">
        <v>1.4</v>
      </c>
      <c r="L278" s="305">
        <v>60</v>
      </c>
      <c r="M278" s="305">
        <v>0.7</v>
      </c>
      <c r="N278" s="305">
        <v>10</v>
      </c>
      <c r="O278" s="305">
        <v>1100</v>
      </c>
      <c r="P278" s="305">
        <v>1100</v>
      </c>
      <c r="Q278" s="305">
        <v>10</v>
      </c>
      <c r="R278" s="305">
        <v>0.1</v>
      </c>
      <c r="S278" s="305">
        <v>250</v>
      </c>
      <c r="T278" s="305">
        <v>12</v>
      </c>
    </row>
    <row r="279" spans="2:20" ht="15" customHeight="1">
      <c r="B279" s="401" t="s">
        <v>226</v>
      </c>
      <c r="C279" s="401"/>
      <c r="D279" s="401"/>
      <c r="E279" s="401"/>
      <c r="F279" s="182">
        <f>F277/F278</f>
        <v>0.7907792207792208</v>
      </c>
      <c r="G279" s="182">
        <f t="shared" ref="G279:T279" si="56">G277/G278</f>
        <v>0.68936708860759499</v>
      </c>
      <c r="H279" s="182">
        <f t="shared" si="56"/>
        <v>0.72525373134328364</v>
      </c>
      <c r="I279" s="182">
        <f t="shared" si="56"/>
        <v>0.7221829787234042</v>
      </c>
      <c r="J279" s="182">
        <f t="shared" si="56"/>
        <v>0.6</v>
      </c>
      <c r="K279" s="182">
        <f t="shared" si="56"/>
        <v>0.61642857142857144</v>
      </c>
      <c r="L279" s="182">
        <f t="shared" si="56"/>
        <v>0.50766666666666671</v>
      </c>
      <c r="M279" s="182">
        <f t="shared" si="56"/>
        <v>0.8858571428571429</v>
      </c>
      <c r="N279" s="182">
        <f t="shared" si="56"/>
        <v>0.59350000000000003</v>
      </c>
      <c r="O279" s="182">
        <f t="shared" si="56"/>
        <v>0.32196363636363634</v>
      </c>
      <c r="P279" s="182">
        <f t="shared" si="56"/>
        <v>0.79808181818181811</v>
      </c>
      <c r="Q279" s="182">
        <f t="shared" si="56"/>
        <v>0.34459999999999996</v>
      </c>
      <c r="R279" s="182">
        <f t="shared" si="56"/>
        <v>0.22999999999999998</v>
      </c>
      <c r="S279" s="182">
        <f t="shared" si="56"/>
        <v>0.83368000000000009</v>
      </c>
      <c r="T279" s="182">
        <f t="shared" si="56"/>
        <v>1.1808333333333334</v>
      </c>
    </row>
    <row r="280" spans="2:20" ht="15" customHeight="1">
      <c r="B280" s="401"/>
      <c r="C280" s="401"/>
      <c r="D280" s="401"/>
      <c r="E280" s="401"/>
      <c r="F280" s="182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</row>
    <row r="281" spans="2:20" ht="28.5" customHeight="1">
      <c r="B281" s="400" t="s">
        <v>259</v>
      </c>
      <c r="C281" s="400"/>
      <c r="D281" s="400"/>
      <c r="E281" s="400"/>
      <c r="F281" s="400"/>
      <c r="G281" s="400"/>
      <c r="H281" s="400"/>
      <c r="I281" s="400"/>
      <c r="J281" s="266"/>
      <c r="K281" s="266"/>
      <c r="L281" s="266"/>
      <c r="M281" s="400" t="s">
        <v>187</v>
      </c>
      <c r="N281" s="400"/>
      <c r="O281" s="400"/>
      <c r="P281" s="400"/>
      <c r="Q281" s="400"/>
      <c r="R281" s="400"/>
      <c r="S281" s="400"/>
      <c r="T281" s="400"/>
    </row>
    <row r="282" spans="2:20">
      <c r="B282" s="266"/>
      <c r="C282" s="266"/>
      <c r="D282" s="267"/>
      <c r="E282" s="267"/>
      <c r="F282" s="266"/>
      <c r="G282" s="266"/>
      <c r="H282" s="266"/>
      <c r="I282" s="266"/>
      <c r="J282" s="266"/>
      <c r="K282" s="266"/>
      <c r="L282" s="266"/>
      <c r="M282" s="266"/>
      <c r="N282" s="266"/>
      <c r="O282" s="266"/>
      <c r="P282" s="266"/>
      <c r="Q282" s="266"/>
      <c r="R282" s="266"/>
      <c r="S282" s="266"/>
      <c r="T282" s="266"/>
    </row>
    <row r="283" spans="2:20">
      <c r="B283" s="401" t="s">
        <v>317</v>
      </c>
      <c r="C283" s="401"/>
      <c r="D283" s="401"/>
      <c r="E283" s="401"/>
      <c r="F283" s="401"/>
      <c r="G283" s="401"/>
      <c r="H283" s="401"/>
      <c r="I283" s="401"/>
      <c r="J283" s="401"/>
      <c r="K283" s="401"/>
      <c r="L283" s="401"/>
      <c r="M283" s="401"/>
      <c r="N283" s="401"/>
      <c r="O283" s="401"/>
      <c r="P283" s="401"/>
      <c r="Q283" s="401"/>
      <c r="R283" s="401"/>
      <c r="S283" s="401"/>
      <c r="T283" s="401"/>
    </row>
    <row r="284" spans="2:20">
      <c r="B284" s="401" t="s">
        <v>189</v>
      </c>
      <c r="C284" s="401"/>
      <c r="D284" s="266"/>
      <c r="E284" s="266"/>
      <c r="F284" s="266"/>
      <c r="G284" s="400" t="s">
        <v>276</v>
      </c>
      <c r="H284" s="400"/>
      <c r="I284" s="400"/>
      <c r="J284" s="266"/>
      <c r="K284" s="266"/>
      <c r="L284" s="401" t="s">
        <v>191</v>
      </c>
      <c r="M284" s="401"/>
      <c r="N284" s="400" t="s">
        <v>192</v>
      </c>
      <c r="O284" s="400"/>
      <c r="P284" s="400"/>
      <c r="Q284" s="400"/>
      <c r="R284" s="266"/>
      <c r="S284" s="266"/>
      <c r="T284" s="266"/>
    </row>
    <row r="285" spans="2:20">
      <c r="B285" s="266"/>
      <c r="C285" s="266"/>
      <c r="D285" s="266"/>
      <c r="E285" s="401" t="s">
        <v>194</v>
      </c>
      <c r="F285" s="401"/>
      <c r="G285" s="266">
        <v>2</v>
      </c>
      <c r="H285" s="266"/>
      <c r="I285" s="266"/>
      <c r="J285" s="266"/>
      <c r="K285" s="266"/>
      <c r="L285" s="401" t="s">
        <v>195</v>
      </c>
      <c r="M285" s="401"/>
      <c r="N285" s="400" t="s">
        <v>196</v>
      </c>
      <c r="O285" s="400"/>
      <c r="P285" s="400"/>
      <c r="Q285" s="400"/>
      <c r="R285" s="400"/>
      <c r="S285" s="400"/>
      <c r="T285" s="400"/>
    </row>
    <row r="286" spans="2:20">
      <c r="B286" s="265" t="s">
        <v>0</v>
      </c>
      <c r="C286" s="412" t="s">
        <v>198</v>
      </c>
      <c r="D286" s="412"/>
      <c r="E286" s="412" t="s">
        <v>199</v>
      </c>
      <c r="F286" s="412" t="s">
        <v>200</v>
      </c>
      <c r="G286" s="412"/>
      <c r="H286" s="412"/>
      <c r="I286" s="265" t="s">
        <v>201</v>
      </c>
      <c r="J286" s="412" t="s">
        <v>202</v>
      </c>
      <c r="K286" s="412"/>
      <c r="L286" s="412"/>
      <c r="M286" s="412"/>
      <c r="N286" s="412"/>
      <c r="O286" s="412" t="s">
        <v>203</v>
      </c>
      <c r="P286" s="412"/>
      <c r="Q286" s="412"/>
      <c r="R286" s="412"/>
      <c r="S286" s="412"/>
      <c r="T286" s="412"/>
    </row>
    <row r="287" spans="2:20" ht="51">
      <c r="B287" s="265" t="s">
        <v>245</v>
      </c>
      <c r="C287" s="412"/>
      <c r="D287" s="412"/>
      <c r="E287" s="412"/>
      <c r="F287" s="265" t="s">
        <v>204</v>
      </c>
      <c r="G287" s="265" t="s">
        <v>205</v>
      </c>
      <c r="H287" s="265" t="s">
        <v>206</v>
      </c>
      <c r="I287" s="265" t="s">
        <v>207</v>
      </c>
      <c r="J287" s="265" t="s">
        <v>208</v>
      </c>
      <c r="K287" s="265" t="s">
        <v>209</v>
      </c>
      <c r="L287" s="265" t="s">
        <v>210</v>
      </c>
      <c r="M287" s="265" t="s">
        <v>211</v>
      </c>
      <c r="N287" s="265" t="s">
        <v>212</v>
      </c>
      <c r="O287" s="265" t="s">
        <v>213</v>
      </c>
      <c r="P287" s="265" t="s">
        <v>214</v>
      </c>
      <c r="Q287" s="265" t="s">
        <v>215</v>
      </c>
      <c r="R287" s="265" t="s">
        <v>216</v>
      </c>
      <c r="S287" s="265" t="s">
        <v>217</v>
      </c>
      <c r="T287" s="265" t="s">
        <v>218</v>
      </c>
    </row>
    <row r="288" spans="2:20">
      <c r="B288" s="264">
        <v>1</v>
      </c>
      <c r="C288" s="407">
        <v>2</v>
      </c>
      <c r="D288" s="407"/>
      <c r="E288" s="264">
        <v>3</v>
      </c>
      <c r="F288" s="264">
        <v>4</v>
      </c>
      <c r="G288" s="264">
        <v>5</v>
      </c>
      <c r="H288" s="264">
        <v>6</v>
      </c>
      <c r="I288" s="264">
        <v>7</v>
      </c>
      <c r="J288" s="264">
        <v>8</v>
      </c>
      <c r="K288" s="264">
        <v>9</v>
      </c>
      <c r="L288" s="264">
        <v>10</v>
      </c>
      <c r="M288" s="264">
        <v>11</v>
      </c>
      <c r="N288" s="264">
        <v>12</v>
      </c>
      <c r="O288" s="264">
        <v>13</v>
      </c>
      <c r="P288" s="264">
        <v>14</v>
      </c>
      <c r="Q288" s="264">
        <v>15</v>
      </c>
      <c r="R288" s="264">
        <v>16</v>
      </c>
      <c r="S288" s="264">
        <v>17</v>
      </c>
      <c r="T288" s="264">
        <v>18</v>
      </c>
    </row>
    <row r="289" spans="2:20">
      <c r="B289" s="401" t="s">
        <v>364</v>
      </c>
      <c r="C289" s="401"/>
      <c r="D289" s="401"/>
      <c r="E289" s="401"/>
      <c r="F289" s="401"/>
      <c r="G289" s="401"/>
      <c r="H289" s="401"/>
      <c r="I289" s="401"/>
      <c r="J289" s="401"/>
      <c r="K289" s="401"/>
      <c r="L289" s="401"/>
      <c r="M289" s="401"/>
      <c r="N289" s="401"/>
      <c r="O289" s="401"/>
      <c r="P289" s="401"/>
      <c r="Q289" s="401"/>
      <c r="R289" s="401"/>
      <c r="S289" s="401"/>
      <c r="T289" s="401"/>
    </row>
    <row r="290" spans="2:20" s="173" customFormat="1" ht="27.75" customHeight="1">
      <c r="B290" s="288" t="s">
        <v>340</v>
      </c>
      <c r="C290" s="439" t="s">
        <v>339</v>
      </c>
      <c r="D290" s="439"/>
      <c r="E290" s="290">
        <v>40</v>
      </c>
      <c r="F290" s="291">
        <v>1.1200000000000001</v>
      </c>
      <c r="G290" s="291">
        <v>0</v>
      </c>
      <c r="H290" s="291">
        <v>0.52</v>
      </c>
      <c r="I290" s="288">
        <v>6.44</v>
      </c>
      <c r="J290" s="291">
        <v>0</v>
      </c>
      <c r="K290" s="291">
        <v>0</v>
      </c>
      <c r="L290" s="291">
        <v>0</v>
      </c>
      <c r="M290" s="291">
        <v>0</v>
      </c>
      <c r="N290" s="291">
        <v>0</v>
      </c>
      <c r="O290" s="291">
        <v>0</v>
      </c>
      <c r="P290" s="291">
        <v>0</v>
      </c>
      <c r="Q290" s="291">
        <v>0</v>
      </c>
      <c r="R290" s="291">
        <v>0</v>
      </c>
      <c r="S290" s="291">
        <v>0</v>
      </c>
      <c r="T290" s="291">
        <v>0</v>
      </c>
    </row>
    <row r="291" spans="2:20" ht="27.75" customHeight="1">
      <c r="B291" s="285">
        <v>71</v>
      </c>
      <c r="C291" s="406" t="s">
        <v>338</v>
      </c>
      <c r="D291" s="406"/>
      <c r="E291" s="285">
        <v>40</v>
      </c>
      <c r="F291" s="285">
        <v>0.33</v>
      </c>
      <c r="G291" s="285">
        <v>0.04</v>
      </c>
      <c r="H291" s="285">
        <v>1.1299999999999999</v>
      </c>
      <c r="I291" s="285">
        <v>6.23</v>
      </c>
      <c r="J291" s="285">
        <v>8.9999999999999993E-3</v>
      </c>
      <c r="K291" s="285">
        <v>0.01</v>
      </c>
      <c r="L291" s="285">
        <v>3</v>
      </c>
      <c r="M291" s="285">
        <v>3.0000000000000001E-3</v>
      </c>
      <c r="N291" s="285">
        <v>0.03</v>
      </c>
      <c r="O291" s="285">
        <v>6.9</v>
      </c>
      <c r="P291" s="285">
        <v>12.6</v>
      </c>
      <c r="Q291" s="285">
        <v>6.4000000000000001E-2</v>
      </c>
      <c r="R291" s="285">
        <v>1E-3</v>
      </c>
      <c r="S291" s="285">
        <v>4.2</v>
      </c>
      <c r="T291" s="285">
        <v>0.18</v>
      </c>
    </row>
    <row r="292" spans="2:20" s="173" customFormat="1" ht="25.5" customHeight="1">
      <c r="B292" s="289">
        <v>15</v>
      </c>
      <c r="C292" s="417" t="s">
        <v>221</v>
      </c>
      <c r="D292" s="417"/>
      <c r="E292" s="289">
        <v>20</v>
      </c>
      <c r="F292" s="289">
        <v>4.6399999999999997</v>
      </c>
      <c r="G292" s="289">
        <v>6.8</v>
      </c>
      <c r="H292" s="289">
        <v>0.02</v>
      </c>
      <c r="I292" s="289">
        <v>79.8</v>
      </c>
      <c r="J292" s="289">
        <v>0.01</v>
      </c>
      <c r="K292" s="289">
        <v>0.06</v>
      </c>
      <c r="L292" s="289">
        <v>0.14000000000000001</v>
      </c>
      <c r="M292" s="289">
        <v>4.5999999999999999E-2</v>
      </c>
      <c r="N292" s="289">
        <v>0.1</v>
      </c>
      <c r="O292" s="289">
        <v>176</v>
      </c>
      <c r="P292" s="289">
        <v>100</v>
      </c>
      <c r="Q292" s="289">
        <v>0.8</v>
      </c>
      <c r="R292" s="289">
        <v>0.04</v>
      </c>
      <c r="S292" s="289">
        <v>7</v>
      </c>
      <c r="T292" s="289">
        <v>0.26</v>
      </c>
    </row>
    <row r="293" spans="2:20" ht="25.5" customHeight="1">
      <c r="B293" s="289">
        <v>210</v>
      </c>
      <c r="C293" s="417" t="s">
        <v>287</v>
      </c>
      <c r="D293" s="417"/>
      <c r="E293" s="289">
        <v>200</v>
      </c>
      <c r="F293" s="289">
        <v>18.579999999999998</v>
      </c>
      <c r="G293" s="289">
        <v>33.1</v>
      </c>
      <c r="H293" s="289">
        <v>3.52</v>
      </c>
      <c r="I293" s="289">
        <v>386.2</v>
      </c>
      <c r="J293" s="289">
        <v>0.14000000000000001</v>
      </c>
      <c r="K293" s="289">
        <v>0.68</v>
      </c>
      <c r="L293" s="289">
        <v>0.34</v>
      </c>
      <c r="M293" s="289">
        <v>0.14000000000000001</v>
      </c>
      <c r="N293" s="289"/>
      <c r="O293" s="289">
        <v>137.44</v>
      </c>
      <c r="P293" s="289">
        <v>301.04000000000002</v>
      </c>
      <c r="Q293" s="289"/>
      <c r="R293" s="289">
        <v>0</v>
      </c>
      <c r="S293" s="289">
        <v>21.52</v>
      </c>
      <c r="T293" s="289">
        <v>3.52</v>
      </c>
    </row>
    <row r="294" spans="2:20" ht="18.75" customHeight="1">
      <c r="B294" s="289">
        <v>341</v>
      </c>
      <c r="C294" s="417" t="s">
        <v>300</v>
      </c>
      <c r="D294" s="417"/>
      <c r="E294" s="289">
        <v>100</v>
      </c>
      <c r="F294" s="289">
        <v>0.9</v>
      </c>
      <c r="G294" s="289">
        <v>0.2</v>
      </c>
      <c r="H294" s="289">
        <v>8.1</v>
      </c>
      <c r="I294" s="289">
        <v>35.799999999999997</v>
      </c>
      <c r="J294" s="289">
        <v>0.04</v>
      </c>
      <c r="K294" s="289">
        <v>0.03</v>
      </c>
      <c r="L294" s="289">
        <v>60</v>
      </c>
      <c r="M294" s="289">
        <v>0.01</v>
      </c>
      <c r="N294" s="289">
        <v>0.2</v>
      </c>
      <c r="O294" s="289">
        <v>34</v>
      </c>
      <c r="P294" s="289">
        <v>23</v>
      </c>
      <c r="Q294" s="289">
        <v>0.2</v>
      </c>
      <c r="R294" s="289">
        <v>0</v>
      </c>
      <c r="S294" s="289">
        <v>15</v>
      </c>
      <c r="T294" s="289">
        <v>0.3</v>
      </c>
    </row>
    <row r="295" spans="2:20" ht="18.75" customHeight="1">
      <c r="B295" s="289">
        <v>376</v>
      </c>
      <c r="C295" s="417" t="s">
        <v>141</v>
      </c>
      <c r="D295" s="417"/>
      <c r="E295" s="289">
        <v>200</v>
      </c>
      <c r="F295" s="289">
        <v>0.2</v>
      </c>
      <c r="G295" s="289">
        <v>0.05</v>
      </c>
      <c r="H295" s="289">
        <v>15.01</v>
      </c>
      <c r="I295" s="289">
        <v>61</v>
      </c>
      <c r="J295" s="289">
        <v>0</v>
      </c>
      <c r="K295" s="289">
        <v>0.01</v>
      </c>
      <c r="L295" s="289">
        <v>9</v>
      </c>
      <c r="M295" s="289">
        <v>1E-4</v>
      </c>
      <c r="N295" s="289">
        <v>4.4999999999999998E-2</v>
      </c>
      <c r="O295" s="289">
        <v>5.25</v>
      </c>
      <c r="P295" s="289">
        <v>8.24</v>
      </c>
      <c r="Q295" s="289">
        <v>8.0000000000000002E-3</v>
      </c>
      <c r="R295" s="289">
        <v>0</v>
      </c>
      <c r="S295" s="289">
        <v>4.4000000000000004</v>
      </c>
      <c r="T295" s="289">
        <v>0.87</v>
      </c>
    </row>
    <row r="296" spans="2:20" ht="18.75" customHeight="1">
      <c r="B296" s="289" t="s">
        <v>224</v>
      </c>
      <c r="C296" s="417" t="s">
        <v>302</v>
      </c>
      <c r="D296" s="417"/>
      <c r="E296" s="289">
        <v>40</v>
      </c>
      <c r="F296" s="289">
        <v>2.67</v>
      </c>
      <c r="G296" s="289">
        <v>0.53</v>
      </c>
      <c r="H296" s="289">
        <v>13.73</v>
      </c>
      <c r="I296" s="289">
        <v>70.400000000000006</v>
      </c>
      <c r="J296" s="289">
        <v>0.13</v>
      </c>
      <c r="K296" s="289">
        <v>1.2999999999999999E-2</v>
      </c>
      <c r="L296" s="289">
        <v>0.1</v>
      </c>
      <c r="M296" s="289">
        <v>0</v>
      </c>
      <c r="N296" s="289">
        <v>0.93</v>
      </c>
      <c r="O296" s="289">
        <v>14</v>
      </c>
      <c r="P296" s="289">
        <v>63.2</v>
      </c>
      <c r="Q296" s="289">
        <v>1.2999999999999999E-2</v>
      </c>
      <c r="R296" s="289">
        <v>1.2999999999999999E-2</v>
      </c>
      <c r="S296" s="289">
        <v>18.8</v>
      </c>
      <c r="T296" s="289">
        <v>1.6</v>
      </c>
    </row>
    <row r="297" spans="2:20">
      <c r="B297" s="401" t="s">
        <v>225</v>
      </c>
      <c r="C297" s="401"/>
      <c r="D297" s="401"/>
      <c r="E297" s="284">
        <f>SUM(E291:E296)</f>
        <v>600</v>
      </c>
      <c r="F297" s="284">
        <f>SUM(F291:F296)</f>
        <v>27.319999999999993</v>
      </c>
      <c r="G297" s="284">
        <f t="shared" ref="G297:T297" si="57">SUM(G291:G296)</f>
        <v>40.72</v>
      </c>
      <c r="H297" s="284">
        <f t="shared" si="57"/>
        <v>41.510000000000005</v>
      </c>
      <c r="I297" s="284">
        <f t="shared" si="57"/>
        <v>639.42999999999995</v>
      </c>
      <c r="J297" s="284">
        <f t="shared" si="57"/>
        <v>0.32900000000000001</v>
      </c>
      <c r="K297" s="284">
        <f t="shared" si="57"/>
        <v>0.80300000000000005</v>
      </c>
      <c r="L297" s="284">
        <f t="shared" si="57"/>
        <v>72.579999999999984</v>
      </c>
      <c r="M297" s="284">
        <f t="shared" si="57"/>
        <v>0.1991</v>
      </c>
      <c r="N297" s="284">
        <f t="shared" si="57"/>
        <v>1.3050000000000002</v>
      </c>
      <c r="O297" s="284">
        <f t="shared" si="57"/>
        <v>373.59000000000003</v>
      </c>
      <c r="P297" s="284">
        <f t="shared" si="57"/>
        <v>508.08</v>
      </c>
      <c r="Q297" s="284">
        <f t="shared" si="57"/>
        <v>1.085</v>
      </c>
      <c r="R297" s="284">
        <f t="shared" si="57"/>
        <v>5.3999999999999999E-2</v>
      </c>
      <c r="S297" s="284">
        <f t="shared" si="57"/>
        <v>70.92</v>
      </c>
      <c r="T297" s="284">
        <f t="shared" si="57"/>
        <v>6.73</v>
      </c>
    </row>
    <row r="298" spans="2:20" ht="15" customHeight="1">
      <c r="B298" s="401" t="s">
        <v>226</v>
      </c>
      <c r="C298" s="401"/>
      <c r="D298" s="401"/>
      <c r="E298" s="401"/>
      <c r="F298" s="182">
        <f>F297/F315</f>
        <v>0.35480519480519473</v>
      </c>
      <c r="G298" s="182">
        <f t="shared" ref="G298:T298" si="58">G297/G315</f>
        <v>0.51544303797468349</v>
      </c>
      <c r="H298" s="182">
        <f t="shared" si="58"/>
        <v>0.12391044776119405</v>
      </c>
      <c r="I298" s="182">
        <f t="shared" si="58"/>
        <v>0.27209787234042548</v>
      </c>
      <c r="J298" s="182">
        <f t="shared" si="58"/>
        <v>0.27416666666666667</v>
      </c>
      <c r="K298" s="182">
        <f t="shared" si="58"/>
        <v>0.57357142857142862</v>
      </c>
      <c r="L298" s="183">
        <f t="shared" si="58"/>
        <v>1.2096666666666664</v>
      </c>
      <c r="M298" s="182">
        <f t="shared" si="58"/>
        <v>0.28442857142857142</v>
      </c>
      <c r="N298" s="182">
        <f t="shared" si="58"/>
        <v>0.1305</v>
      </c>
      <c r="O298" s="182">
        <f t="shared" si="58"/>
        <v>0.33962727272727278</v>
      </c>
      <c r="P298" s="182">
        <f t="shared" si="58"/>
        <v>0.46189090909090907</v>
      </c>
      <c r="Q298" s="182">
        <f t="shared" si="58"/>
        <v>0.1085</v>
      </c>
      <c r="R298" s="182">
        <f t="shared" si="58"/>
        <v>0.53999999999999992</v>
      </c>
      <c r="S298" s="182">
        <f t="shared" si="58"/>
        <v>0.28367999999999999</v>
      </c>
      <c r="T298" s="182">
        <f t="shared" si="58"/>
        <v>0.56083333333333341</v>
      </c>
    </row>
    <row r="299" spans="2:20">
      <c r="B299" s="401" t="s">
        <v>227</v>
      </c>
      <c r="C299" s="401"/>
      <c r="D299" s="401"/>
      <c r="E299" s="401"/>
      <c r="F299" s="401"/>
      <c r="G299" s="401"/>
      <c r="H299" s="401"/>
      <c r="I299" s="401"/>
      <c r="J299" s="401"/>
      <c r="K299" s="401"/>
      <c r="L299" s="401"/>
      <c r="M299" s="401"/>
      <c r="N299" s="401"/>
      <c r="O299" s="401"/>
      <c r="P299" s="401"/>
      <c r="Q299" s="401"/>
      <c r="R299" s="401"/>
      <c r="S299" s="401"/>
      <c r="T299" s="401"/>
    </row>
    <row r="300" spans="2:20" ht="28.5" customHeight="1">
      <c r="B300" s="289">
        <v>115</v>
      </c>
      <c r="C300" s="417" t="s">
        <v>279</v>
      </c>
      <c r="D300" s="417"/>
      <c r="E300" s="289">
        <v>60</v>
      </c>
      <c r="F300" s="289">
        <v>1.1399999999999999</v>
      </c>
      <c r="G300" s="289">
        <v>5.34</v>
      </c>
      <c r="H300" s="289">
        <v>4.62</v>
      </c>
      <c r="I300" s="289">
        <v>71.400000000000006</v>
      </c>
      <c r="J300" s="289">
        <v>0.01</v>
      </c>
      <c r="K300" s="289">
        <v>0</v>
      </c>
      <c r="L300" s="289">
        <v>4.2</v>
      </c>
      <c r="M300" s="289">
        <v>0.01</v>
      </c>
      <c r="N300" s="289"/>
      <c r="O300" s="289">
        <v>24.6</v>
      </c>
      <c r="P300" s="289">
        <v>22.2</v>
      </c>
      <c r="Q300" s="289"/>
      <c r="R300" s="289">
        <v>0</v>
      </c>
      <c r="S300" s="289">
        <v>9</v>
      </c>
      <c r="T300" s="289">
        <v>0.42</v>
      </c>
    </row>
    <row r="301" spans="2:20" ht="32.25" customHeight="1">
      <c r="B301" s="289">
        <v>103</v>
      </c>
      <c r="C301" s="417" t="s">
        <v>326</v>
      </c>
      <c r="D301" s="417"/>
      <c r="E301" s="289">
        <v>200</v>
      </c>
      <c r="F301" s="289">
        <v>2.16</v>
      </c>
      <c r="G301" s="289">
        <v>2.8</v>
      </c>
      <c r="H301" s="289">
        <v>13.96</v>
      </c>
      <c r="I301" s="289">
        <v>94.6</v>
      </c>
      <c r="J301" s="289">
        <v>0.08</v>
      </c>
      <c r="K301" s="289">
        <v>0.04</v>
      </c>
      <c r="L301" s="289">
        <v>6.6</v>
      </c>
      <c r="M301" s="289">
        <v>0.08</v>
      </c>
      <c r="N301" s="289">
        <v>0</v>
      </c>
      <c r="O301" s="289">
        <v>23.36</v>
      </c>
      <c r="P301" s="289">
        <v>54.06</v>
      </c>
      <c r="Q301" s="289">
        <v>0</v>
      </c>
      <c r="R301" s="289">
        <v>0</v>
      </c>
      <c r="S301" s="289">
        <v>21.82</v>
      </c>
      <c r="T301" s="289">
        <v>0.9</v>
      </c>
    </row>
    <row r="302" spans="2:20" ht="28.5" customHeight="1">
      <c r="B302" s="289">
        <v>295</v>
      </c>
      <c r="C302" s="417" t="s">
        <v>291</v>
      </c>
      <c r="D302" s="417"/>
      <c r="E302" s="289">
        <v>90</v>
      </c>
      <c r="F302" s="289">
        <v>13.7</v>
      </c>
      <c r="G302" s="289">
        <v>5.2</v>
      </c>
      <c r="H302" s="289">
        <v>9.1</v>
      </c>
      <c r="I302" s="289">
        <v>138.41999999999999</v>
      </c>
      <c r="J302" s="289">
        <v>8.1000000000000003E-2</v>
      </c>
      <c r="K302" s="289">
        <v>7.0000000000000007E-2</v>
      </c>
      <c r="L302" s="289">
        <v>0.22</v>
      </c>
      <c r="M302" s="289">
        <v>8.9999999999999998E-4</v>
      </c>
      <c r="N302" s="289">
        <v>6.6600000000000006E-2</v>
      </c>
      <c r="O302" s="289">
        <v>12.6</v>
      </c>
      <c r="P302" s="289">
        <v>84.6</v>
      </c>
      <c r="Q302" s="289">
        <v>1.05</v>
      </c>
      <c r="R302" s="289">
        <v>3.5999999999999997E-2</v>
      </c>
      <c r="S302" s="289">
        <v>14.6</v>
      </c>
      <c r="T302" s="289">
        <v>1.7</v>
      </c>
    </row>
    <row r="303" spans="2:20" ht="25.5" customHeight="1">
      <c r="B303" s="289">
        <v>173</v>
      </c>
      <c r="C303" s="417" t="s">
        <v>327</v>
      </c>
      <c r="D303" s="417"/>
      <c r="E303" s="289">
        <v>150</v>
      </c>
      <c r="F303" s="289">
        <v>6.57</v>
      </c>
      <c r="G303" s="289">
        <v>4.1900000000000004</v>
      </c>
      <c r="H303" s="289">
        <v>32.32</v>
      </c>
      <c r="I303" s="289">
        <v>193.27</v>
      </c>
      <c r="J303" s="289">
        <v>0.06</v>
      </c>
      <c r="K303" s="289">
        <v>0.03</v>
      </c>
      <c r="L303" s="289">
        <v>0</v>
      </c>
      <c r="M303" s="289">
        <v>0.03</v>
      </c>
      <c r="N303" s="289">
        <v>2.5499999999999998</v>
      </c>
      <c r="O303" s="289">
        <v>18.12</v>
      </c>
      <c r="P303" s="289">
        <v>157.03</v>
      </c>
      <c r="Q303" s="289">
        <v>0.89</v>
      </c>
      <c r="R303" s="289">
        <v>1.4E-3</v>
      </c>
      <c r="S303" s="289">
        <v>104.45</v>
      </c>
      <c r="T303" s="289">
        <v>3.55</v>
      </c>
    </row>
    <row r="304" spans="2:20" ht="21" customHeight="1">
      <c r="B304" s="289">
        <v>389</v>
      </c>
      <c r="C304" s="417" t="s">
        <v>283</v>
      </c>
      <c r="D304" s="417"/>
      <c r="E304" s="289">
        <v>200</v>
      </c>
      <c r="F304" s="289">
        <v>1</v>
      </c>
      <c r="G304" s="289">
        <v>0.2</v>
      </c>
      <c r="H304" s="289">
        <v>20.2</v>
      </c>
      <c r="I304" s="289">
        <v>87</v>
      </c>
      <c r="J304" s="289">
        <v>0</v>
      </c>
      <c r="K304" s="289">
        <v>0.08</v>
      </c>
      <c r="L304" s="289">
        <v>4</v>
      </c>
      <c r="M304" s="289">
        <v>0</v>
      </c>
      <c r="N304" s="289">
        <v>0</v>
      </c>
      <c r="O304" s="289">
        <v>31.1</v>
      </c>
      <c r="P304" s="289">
        <v>18</v>
      </c>
      <c r="Q304" s="289">
        <v>0</v>
      </c>
      <c r="R304" s="289">
        <v>0</v>
      </c>
      <c r="S304" s="289">
        <v>8</v>
      </c>
      <c r="T304" s="289">
        <v>0.72</v>
      </c>
    </row>
    <row r="305" spans="2:20" ht="19.5" customHeight="1">
      <c r="B305" s="289" t="s">
        <v>224</v>
      </c>
      <c r="C305" s="417" t="s">
        <v>235</v>
      </c>
      <c r="D305" s="417"/>
      <c r="E305" s="289">
        <v>40</v>
      </c>
      <c r="F305" s="289">
        <v>2.64</v>
      </c>
      <c r="G305" s="289">
        <v>0.48</v>
      </c>
      <c r="H305" s="289">
        <v>13.68</v>
      </c>
      <c r="I305" s="289">
        <v>69.599999999999994</v>
      </c>
      <c r="J305" s="289">
        <v>0.08</v>
      </c>
      <c r="K305" s="289">
        <v>0.04</v>
      </c>
      <c r="L305" s="289">
        <v>0</v>
      </c>
      <c r="M305" s="289">
        <v>0</v>
      </c>
      <c r="N305" s="289">
        <v>2.4</v>
      </c>
      <c r="O305" s="289">
        <v>14</v>
      </c>
      <c r="P305" s="289">
        <v>63.2</v>
      </c>
      <c r="Q305" s="289">
        <v>1.2</v>
      </c>
      <c r="R305" s="289">
        <v>1E-3</v>
      </c>
      <c r="S305" s="289">
        <v>9.4</v>
      </c>
      <c r="T305" s="289">
        <v>0.78</v>
      </c>
    </row>
    <row r="306" spans="2:20" ht="15" customHeight="1">
      <c r="B306" s="289" t="s">
        <v>224</v>
      </c>
      <c r="C306" s="417" t="s">
        <v>117</v>
      </c>
      <c r="D306" s="417"/>
      <c r="E306" s="289">
        <v>30</v>
      </c>
      <c r="F306" s="289">
        <v>1.52</v>
      </c>
      <c r="G306" s="289">
        <v>0.16</v>
      </c>
      <c r="H306" s="289">
        <v>9.84</v>
      </c>
      <c r="I306" s="289">
        <v>46.9</v>
      </c>
      <c r="J306" s="289">
        <v>0.02</v>
      </c>
      <c r="K306" s="289">
        <v>0.01</v>
      </c>
      <c r="L306" s="289">
        <v>0.44</v>
      </c>
      <c r="M306" s="289">
        <v>0</v>
      </c>
      <c r="N306" s="289">
        <v>0.7</v>
      </c>
      <c r="O306" s="289">
        <v>4</v>
      </c>
      <c r="P306" s="289">
        <v>13</v>
      </c>
      <c r="Q306" s="289">
        <v>8.0000000000000002E-3</v>
      </c>
      <c r="R306" s="289">
        <v>1E-3</v>
      </c>
      <c r="S306" s="289">
        <v>0</v>
      </c>
      <c r="T306" s="289">
        <v>0.22</v>
      </c>
    </row>
    <row r="307" spans="2:20" ht="25.5" customHeight="1">
      <c r="B307" s="401" t="s">
        <v>236</v>
      </c>
      <c r="C307" s="401"/>
      <c r="D307" s="401"/>
      <c r="E307" s="284">
        <f>SUM(E300:E306)</f>
        <v>770</v>
      </c>
      <c r="F307" s="284">
        <f t="shared" ref="F307:T307" si="59">SUM(F300:F306)</f>
        <v>28.73</v>
      </c>
      <c r="G307" s="284">
        <f t="shared" si="59"/>
        <v>18.37</v>
      </c>
      <c r="H307" s="284">
        <f t="shared" si="59"/>
        <v>103.72</v>
      </c>
      <c r="I307" s="284">
        <f t="shared" si="59"/>
        <v>701.18999999999994</v>
      </c>
      <c r="J307" s="284">
        <f t="shared" si="59"/>
        <v>0.33100000000000002</v>
      </c>
      <c r="K307" s="284">
        <f t="shared" si="59"/>
        <v>0.27</v>
      </c>
      <c r="L307" s="284">
        <f t="shared" si="59"/>
        <v>15.46</v>
      </c>
      <c r="M307" s="284">
        <f t="shared" si="59"/>
        <v>0.12089999999999999</v>
      </c>
      <c r="N307" s="284">
        <f t="shared" si="59"/>
        <v>5.7166000000000006</v>
      </c>
      <c r="O307" s="284">
        <f t="shared" si="59"/>
        <v>127.78</v>
      </c>
      <c r="P307" s="284">
        <f t="shared" si="59"/>
        <v>412.09</v>
      </c>
      <c r="Q307" s="284">
        <f t="shared" si="59"/>
        <v>3.1479999999999997</v>
      </c>
      <c r="R307" s="284">
        <f t="shared" si="59"/>
        <v>3.9399999999999998E-2</v>
      </c>
      <c r="S307" s="284">
        <f t="shared" si="59"/>
        <v>167.27</v>
      </c>
      <c r="T307" s="284">
        <f t="shared" si="59"/>
        <v>8.2900000000000009</v>
      </c>
    </row>
    <row r="308" spans="2:20" ht="15" customHeight="1">
      <c r="B308" s="401" t="s">
        <v>226</v>
      </c>
      <c r="C308" s="401"/>
      <c r="D308" s="401"/>
      <c r="E308" s="401"/>
      <c r="F308" s="182">
        <f>F307/F315</f>
        <v>0.37311688311688312</v>
      </c>
      <c r="G308" s="182">
        <f t="shared" ref="G308:T308" si="60">G307/G315</f>
        <v>0.23253164556962028</v>
      </c>
      <c r="H308" s="182">
        <f t="shared" si="60"/>
        <v>0.30961194029850747</v>
      </c>
      <c r="I308" s="182">
        <f t="shared" si="60"/>
        <v>0.29837872340425531</v>
      </c>
      <c r="J308" s="182">
        <f t="shared" si="60"/>
        <v>0.27583333333333337</v>
      </c>
      <c r="K308" s="182">
        <f t="shared" si="60"/>
        <v>0.19285714285714289</v>
      </c>
      <c r="L308" s="182">
        <f t="shared" si="60"/>
        <v>0.25766666666666665</v>
      </c>
      <c r="M308" s="182">
        <f t="shared" si="60"/>
        <v>0.17271428571428571</v>
      </c>
      <c r="N308" s="182">
        <f t="shared" si="60"/>
        <v>0.57166000000000006</v>
      </c>
      <c r="O308" s="182">
        <f t="shared" si="60"/>
        <v>0.11616363636363636</v>
      </c>
      <c r="P308" s="182">
        <f t="shared" si="60"/>
        <v>0.3746272727272727</v>
      </c>
      <c r="Q308" s="182">
        <f t="shared" si="60"/>
        <v>0.31479999999999997</v>
      </c>
      <c r="R308" s="182">
        <f t="shared" si="60"/>
        <v>0.39399999999999996</v>
      </c>
      <c r="S308" s="182">
        <f t="shared" si="60"/>
        <v>0.66908000000000001</v>
      </c>
      <c r="T308" s="182">
        <f t="shared" si="60"/>
        <v>0.69083333333333341</v>
      </c>
    </row>
    <row r="309" spans="2:20">
      <c r="B309" s="401" t="s">
        <v>237</v>
      </c>
      <c r="C309" s="401"/>
      <c r="D309" s="401"/>
      <c r="E309" s="401"/>
      <c r="F309" s="401"/>
      <c r="G309" s="401"/>
      <c r="H309" s="401"/>
      <c r="I309" s="401"/>
      <c r="J309" s="401"/>
      <c r="K309" s="401"/>
      <c r="L309" s="401"/>
      <c r="M309" s="401"/>
      <c r="N309" s="401"/>
      <c r="O309" s="401"/>
      <c r="P309" s="401"/>
      <c r="Q309" s="401"/>
      <c r="R309" s="401"/>
      <c r="S309" s="401"/>
      <c r="T309" s="401"/>
    </row>
    <row r="310" spans="2:20" ht="16.5" customHeight="1">
      <c r="B310" s="290" t="s">
        <v>224</v>
      </c>
      <c r="C310" s="406" t="s">
        <v>257</v>
      </c>
      <c r="D310" s="406"/>
      <c r="E310" s="290">
        <v>80</v>
      </c>
      <c r="F310" s="290">
        <v>5.95</v>
      </c>
      <c r="G310" s="290">
        <v>6.05</v>
      </c>
      <c r="H310" s="290">
        <v>38.22</v>
      </c>
      <c r="I310" s="290">
        <v>231.11</v>
      </c>
      <c r="J310" s="290">
        <v>0.06</v>
      </c>
      <c r="K310" s="290">
        <v>0.06</v>
      </c>
      <c r="L310" s="290">
        <v>0.02</v>
      </c>
      <c r="M310" s="290">
        <v>0.06</v>
      </c>
      <c r="N310" s="290"/>
      <c r="O310" s="290">
        <v>19.489999999999998</v>
      </c>
      <c r="P310" s="290">
        <v>55.89</v>
      </c>
      <c r="Q310" s="290"/>
      <c r="R310" s="290">
        <v>0</v>
      </c>
      <c r="S310" s="290">
        <v>8.27</v>
      </c>
      <c r="T310" s="290">
        <v>0.7</v>
      </c>
    </row>
    <row r="311" spans="2:20" ht="26.25" customHeight="1">
      <c r="B311" s="290">
        <v>377</v>
      </c>
      <c r="C311" s="406" t="s">
        <v>149</v>
      </c>
      <c r="D311" s="406"/>
      <c r="E311" s="290" t="s">
        <v>151</v>
      </c>
      <c r="F311" s="290">
        <v>0.26</v>
      </c>
      <c r="G311" s="290">
        <v>0.06</v>
      </c>
      <c r="H311" s="290">
        <v>15.22</v>
      </c>
      <c r="I311" s="290">
        <v>62.5</v>
      </c>
      <c r="J311" s="290"/>
      <c r="K311" s="290">
        <v>0.01</v>
      </c>
      <c r="L311" s="290">
        <v>2.9</v>
      </c>
      <c r="M311" s="290">
        <v>0</v>
      </c>
      <c r="N311" s="290">
        <v>0.06</v>
      </c>
      <c r="O311" s="290">
        <v>8.0500000000000007</v>
      </c>
      <c r="P311" s="290">
        <v>9.7799999999999994</v>
      </c>
      <c r="Q311" s="290">
        <v>1.7000000000000001E-2</v>
      </c>
      <c r="R311" s="290">
        <v>0</v>
      </c>
      <c r="S311" s="290">
        <v>5.24</v>
      </c>
      <c r="T311" s="290">
        <v>0.87</v>
      </c>
    </row>
    <row r="312" spans="2:20" ht="15" customHeight="1">
      <c r="B312" s="413" t="s">
        <v>240</v>
      </c>
      <c r="C312" s="414"/>
      <c r="D312" s="415"/>
      <c r="E312" s="283">
        <f>E310+204</f>
        <v>284</v>
      </c>
      <c r="F312" s="283">
        <f>SUM(F310:F311)</f>
        <v>6.21</v>
      </c>
      <c r="G312" s="283">
        <f t="shared" ref="G312:T312" si="61">SUM(G310:G311)</f>
        <v>6.1099999999999994</v>
      </c>
      <c r="H312" s="283">
        <f t="shared" si="61"/>
        <v>53.44</v>
      </c>
      <c r="I312" s="283">
        <f t="shared" si="61"/>
        <v>293.61</v>
      </c>
      <c r="J312" s="283">
        <f t="shared" si="61"/>
        <v>0.06</v>
      </c>
      <c r="K312" s="283">
        <f t="shared" si="61"/>
        <v>6.9999999999999993E-2</v>
      </c>
      <c r="L312" s="283">
        <f t="shared" si="61"/>
        <v>2.92</v>
      </c>
      <c r="M312" s="283">
        <f t="shared" si="61"/>
        <v>0.06</v>
      </c>
      <c r="N312" s="283">
        <f t="shared" si="61"/>
        <v>0.06</v>
      </c>
      <c r="O312" s="283">
        <f t="shared" si="61"/>
        <v>27.54</v>
      </c>
      <c r="P312" s="283">
        <f t="shared" si="61"/>
        <v>65.67</v>
      </c>
      <c r="Q312" s="283">
        <f t="shared" si="61"/>
        <v>1.7000000000000001E-2</v>
      </c>
      <c r="R312" s="283">
        <f t="shared" si="61"/>
        <v>0</v>
      </c>
      <c r="S312" s="283">
        <f t="shared" si="61"/>
        <v>13.51</v>
      </c>
      <c r="T312" s="283">
        <f t="shared" si="61"/>
        <v>1.5699999999999998</v>
      </c>
    </row>
    <row r="313" spans="2:20" ht="15" customHeight="1">
      <c r="B313" s="405" t="s">
        <v>226</v>
      </c>
      <c r="C313" s="405"/>
      <c r="D313" s="405"/>
      <c r="E313" s="405"/>
      <c r="F313" s="174">
        <f>F312/F315</f>
        <v>8.0649350649350651E-2</v>
      </c>
      <c r="G313" s="174">
        <f t="shared" ref="G313:T313" si="62">G312/G315</f>
        <v>7.7341772151898733E-2</v>
      </c>
      <c r="H313" s="174">
        <f t="shared" si="62"/>
        <v>0.15952238805970148</v>
      </c>
      <c r="I313" s="174">
        <f t="shared" si="62"/>
        <v>0.12494042553191489</v>
      </c>
      <c r="J313" s="174">
        <f t="shared" si="62"/>
        <v>0.05</v>
      </c>
      <c r="K313" s="174">
        <f t="shared" si="62"/>
        <v>4.9999999999999996E-2</v>
      </c>
      <c r="L313" s="174">
        <f t="shared" si="62"/>
        <v>4.8666666666666664E-2</v>
      </c>
      <c r="M313" s="174">
        <f t="shared" si="62"/>
        <v>8.5714285714285715E-2</v>
      </c>
      <c r="N313" s="174">
        <f t="shared" si="62"/>
        <v>6.0000000000000001E-3</v>
      </c>
      <c r="O313" s="174">
        <f t="shared" si="62"/>
        <v>2.5036363636363634E-2</v>
      </c>
      <c r="P313" s="174">
        <f t="shared" si="62"/>
        <v>5.9700000000000003E-2</v>
      </c>
      <c r="Q313" s="174">
        <f t="shared" si="62"/>
        <v>1.7000000000000001E-3</v>
      </c>
      <c r="R313" s="174">
        <f t="shared" si="62"/>
        <v>0</v>
      </c>
      <c r="S313" s="174">
        <f t="shared" si="62"/>
        <v>5.4039999999999998E-2</v>
      </c>
      <c r="T313" s="174">
        <f t="shared" si="62"/>
        <v>0.13083333333333333</v>
      </c>
    </row>
    <row r="314" spans="2:20" ht="15" customHeight="1">
      <c r="B314" s="405" t="s">
        <v>241</v>
      </c>
      <c r="C314" s="405"/>
      <c r="D314" s="405"/>
      <c r="E314" s="405"/>
      <c r="F314" s="283">
        <f>F312+F307+F297</f>
        <v>62.259999999999991</v>
      </c>
      <c r="G314" s="283">
        <f t="shared" ref="G314:T314" si="63">G312+G307+G297</f>
        <v>65.2</v>
      </c>
      <c r="H314" s="283">
        <f t="shared" si="63"/>
        <v>198.67000000000002</v>
      </c>
      <c r="I314" s="283">
        <f t="shared" si="63"/>
        <v>1634.23</v>
      </c>
      <c r="J314" s="283">
        <f t="shared" si="63"/>
        <v>0.72</v>
      </c>
      <c r="K314" s="283">
        <f t="shared" si="63"/>
        <v>1.143</v>
      </c>
      <c r="L314" s="283">
        <f t="shared" si="63"/>
        <v>90.95999999999998</v>
      </c>
      <c r="M314" s="283">
        <f t="shared" si="63"/>
        <v>0.38</v>
      </c>
      <c r="N314" s="283">
        <f t="shared" si="63"/>
        <v>7.0815999999999999</v>
      </c>
      <c r="O314" s="283">
        <f t="shared" si="63"/>
        <v>528.91000000000008</v>
      </c>
      <c r="P314" s="283">
        <f t="shared" si="63"/>
        <v>985.83999999999992</v>
      </c>
      <c r="Q314" s="283">
        <f t="shared" si="63"/>
        <v>4.25</v>
      </c>
      <c r="R314" s="283">
        <f t="shared" si="63"/>
        <v>9.3399999999999997E-2</v>
      </c>
      <c r="S314" s="283">
        <f t="shared" si="63"/>
        <v>251.7</v>
      </c>
      <c r="T314" s="283">
        <f t="shared" si="63"/>
        <v>16.590000000000003</v>
      </c>
    </row>
    <row r="315" spans="2:20" ht="15" customHeight="1">
      <c r="B315" s="405" t="s">
        <v>242</v>
      </c>
      <c r="C315" s="405"/>
      <c r="D315" s="405"/>
      <c r="E315" s="405"/>
      <c r="F315" s="289">
        <v>77</v>
      </c>
      <c r="G315" s="289">
        <v>79</v>
      </c>
      <c r="H315" s="289">
        <v>335</v>
      </c>
      <c r="I315" s="289">
        <v>2350</v>
      </c>
      <c r="J315" s="289">
        <v>1.2</v>
      </c>
      <c r="K315" s="289">
        <v>1.4</v>
      </c>
      <c r="L315" s="289">
        <v>60</v>
      </c>
      <c r="M315" s="289">
        <v>0.7</v>
      </c>
      <c r="N315" s="289">
        <v>10</v>
      </c>
      <c r="O315" s="289">
        <v>1100</v>
      </c>
      <c r="P315" s="289">
        <v>1100</v>
      </c>
      <c r="Q315" s="289">
        <v>10</v>
      </c>
      <c r="R315" s="289">
        <v>0.1</v>
      </c>
      <c r="S315" s="289">
        <v>250</v>
      </c>
      <c r="T315" s="289">
        <v>12</v>
      </c>
    </row>
    <row r="316" spans="2:20" ht="15" customHeight="1">
      <c r="B316" s="440" t="s">
        <v>226</v>
      </c>
      <c r="C316" s="440"/>
      <c r="D316" s="440"/>
      <c r="E316" s="440"/>
      <c r="F316" s="244">
        <f>F314/F315</f>
        <v>0.8085714285714285</v>
      </c>
      <c r="G316" s="244">
        <f t="shared" ref="G316:T316" si="64">G314/G315</f>
        <v>0.8253164556962026</v>
      </c>
      <c r="H316" s="244">
        <f t="shared" si="64"/>
        <v>0.59304477611940298</v>
      </c>
      <c r="I316" s="244">
        <f t="shared" si="64"/>
        <v>0.69541702127659577</v>
      </c>
      <c r="J316" s="244">
        <f t="shared" si="64"/>
        <v>0.6</v>
      </c>
      <c r="K316" s="244">
        <f t="shared" si="64"/>
        <v>0.8164285714285715</v>
      </c>
      <c r="L316" s="244">
        <f t="shared" si="64"/>
        <v>1.5159999999999996</v>
      </c>
      <c r="M316" s="244">
        <f t="shared" si="64"/>
        <v>0.54285714285714293</v>
      </c>
      <c r="N316" s="244">
        <f t="shared" si="64"/>
        <v>0.70816000000000001</v>
      </c>
      <c r="O316" s="244">
        <f t="shared" si="64"/>
        <v>0.48082727272727283</v>
      </c>
      <c r="P316" s="244">
        <f t="shared" si="64"/>
        <v>0.89621818181818169</v>
      </c>
      <c r="Q316" s="244">
        <f t="shared" si="64"/>
        <v>0.42499999999999999</v>
      </c>
      <c r="R316" s="244">
        <f t="shared" si="64"/>
        <v>0.93399999999999994</v>
      </c>
      <c r="S316" s="244">
        <f t="shared" si="64"/>
        <v>1.0067999999999999</v>
      </c>
      <c r="T316" s="244">
        <f t="shared" si="64"/>
        <v>1.3825000000000003</v>
      </c>
    </row>
    <row r="317" spans="2:20">
      <c r="B317" s="172"/>
      <c r="C317" s="266"/>
      <c r="D317" s="266"/>
      <c r="E317" s="266"/>
      <c r="F317" s="266"/>
      <c r="G317" s="266"/>
      <c r="H317" s="266"/>
      <c r="I317" s="266"/>
      <c r="J317" s="266"/>
      <c r="K317" s="266"/>
      <c r="L317" s="266"/>
      <c r="M317" s="400" t="s">
        <v>187</v>
      </c>
      <c r="N317" s="400"/>
      <c r="O317" s="400"/>
      <c r="P317" s="400"/>
      <c r="Q317" s="400"/>
      <c r="R317" s="400"/>
      <c r="S317" s="400"/>
      <c r="T317" s="400"/>
    </row>
    <row r="318" spans="2:20">
      <c r="B318" s="401" t="s">
        <v>325</v>
      </c>
      <c r="C318" s="401"/>
      <c r="D318" s="401"/>
      <c r="E318" s="401"/>
      <c r="F318" s="401"/>
      <c r="G318" s="401"/>
      <c r="H318" s="401"/>
      <c r="I318" s="401"/>
      <c r="J318" s="401"/>
      <c r="K318" s="401"/>
      <c r="L318" s="401"/>
      <c r="M318" s="401"/>
      <c r="N318" s="401"/>
      <c r="O318" s="401"/>
      <c r="P318" s="401"/>
      <c r="Q318" s="401"/>
      <c r="R318" s="401"/>
      <c r="S318" s="401"/>
      <c r="T318" s="401"/>
    </row>
    <row r="319" spans="2:20">
      <c r="B319" s="401" t="s">
        <v>189</v>
      </c>
      <c r="C319" s="401"/>
      <c r="D319" s="266"/>
      <c r="E319" s="266"/>
      <c r="F319" s="266"/>
      <c r="G319" s="400" t="s">
        <v>285</v>
      </c>
      <c r="H319" s="400"/>
      <c r="I319" s="400"/>
      <c r="J319" s="266"/>
      <c r="K319" s="266"/>
      <c r="L319" s="401" t="s">
        <v>191</v>
      </c>
      <c r="M319" s="401"/>
      <c r="N319" s="400" t="s">
        <v>192</v>
      </c>
      <c r="O319" s="400"/>
      <c r="P319" s="400"/>
      <c r="Q319" s="400"/>
      <c r="R319" s="266"/>
      <c r="S319" s="266"/>
      <c r="T319" s="266"/>
    </row>
    <row r="320" spans="2:20">
      <c r="B320" s="266"/>
      <c r="C320" s="266"/>
      <c r="D320" s="266"/>
      <c r="E320" s="401" t="s">
        <v>194</v>
      </c>
      <c r="F320" s="401"/>
      <c r="G320" s="266">
        <v>2</v>
      </c>
      <c r="H320" s="266"/>
      <c r="I320" s="266"/>
      <c r="J320" s="266"/>
      <c r="K320" s="266"/>
      <c r="L320" s="401" t="s">
        <v>195</v>
      </c>
      <c r="M320" s="401"/>
      <c r="N320" s="400" t="s">
        <v>196</v>
      </c>
      <c r="O320" s="400"/>
      <c r="P320" s="400"/>
      <c r="Q320" s="400"/>
      <c r="R320" s="400"/>
      <c r="S320" s="400"/>
      <c r="T320" s="400"/>
    </row>
    <row r="321" spans="2:20">
      <c r="B321" s="265" t="s">
        <v>0</v>
      </c>
      <c r="C321" s="412" t="s">
        <v>198</v>
      </c>
      <c r="D321" s="412"/>
      <c r="E321" s="412" t="s">
        <v>199</v>
      </c>
      <c r="F321" s="412" t="s">
        <v>200</v>
      </c>
      <c r="G321" s="412"/>
      <c r="H321" s="412"/>
      <c r="I321" s="265" t="s">
        <v>201</v>
      </c>
      <c r="J321" s="412" t="s">
        <v>202</v>
      </c>
      <c r="K321" s="412"/>
      <c r="L321" s="412"/>
      <c r="M321" s="412"/>
      <c r="N321" s="412"/>
      <c r="O321" s="412" t="s">
        <v>203</v>
      </c>
      <c r="P321" s="412"/>
      <c r="Q321" s="412"/>
      <c r="R321" s="412"/>
      <c r="S321" s="412"/>
      <c r="T321" s="412"/>
    </row>
    <row r="322" spans="2:20" ht="51">
      <c r="B322" s="265" t="s">
        <v>245</v>
      </c>
      <c r="C322" s="412"/>
      <c r="D322" s="412"/>
      <c r="E322" s="412"/>
      <c r="F322" s="265" t="s">
        <v>204</v>
      </c>
      <c r="G322" s="265" t="s">
        <v>205</v>
      </c>
      <c r="H322" s="265" t="s">
        <v>206</v>
      </c>
      <c r="I322" s="265" t="s">
        <v>207</v>
      </c>
      <c r="J322" s="265" t="s">
        <v>208</v>
      </c>
      <c r="K322" s="265" t="s">
        <v>209</v>
      </c>
      <c r="L322" s="265" t="s">
        <v>210</v>
      </c>
      <c r="M322" s="265" t="s">
        <v>211</v>
      </c>
      <c r="N322" s="265" t="s">
        <v>212</v>
      </c>
      <c r="O322" s="265" t="s">
        <v>213</v>
      </c>
      <c r="P322" s="265" t="s">
        <v>214</v>
      </c>
      <c r="Q322" s="265" t="s">
        <v>215</v>
      </c>
      <c r="R322" s="265" t="s">
        <v>216</v>
      </c>
      <c r="S322" s="265" t="s">
        <v>217</v>
      </c>
      <c r="T322" s="265" t="s">
        <v>218</v>
      </c>
    </row>
    <row r="323" spans="2:20">
      <c r="B323" s="264">
        <v>1</v>
      </c>
      <c r="C323" s="407">
        <v>2</v>
      </c>
      <c r="D323" s="407"/>
      <c r="E323" s="264">
        <v>3</v>
      </c>
      <c r="F323" s="264">
        <v>4</v>
      </c>
      <c r="G323" s="264">
        <v>5</v>
      </c>
      <c r="H323" s="264">
        <v>6</v>
      </c>
      <c r="I323" s="264">
        <v>7</v>
      </c>
      <c r="J323" s="264">
        <v>8</v>
      </c>
      <c r="K323" s="264">
        <v>9</v>
      </c>
      <c r="L323" s="264">
        <v>10</v>
      </c>
      <c r="M323" s="264">
        <v>11</v>
      </c>
      <c r="N323" s="264">
        <v>12</v>
      </c>
      <c r="O323" s="264">
        <v>13</v>
      </c>
      <c r="P323" s="264">
        <v>14</v>
      </c>
      <c r="Q323" s="264">
        <v>15</v>
      </c>
      <c r="R323" s="264">
        <v>16</v>
      </c>
      <c r="S323" s="264">
        <v>17</v>
      </c>
      <c r="T323" s="264">
        <v>18</v>
      </c>
    </row>
    <row r="324" spans="2:20">
      <c r="B324" s="401" t="s">
        <v>365</v>
      </c>
      <c r="C324" s="401"/>
      <c r="D324" s="401"/>
      <c r="E324" s="401"/>
      <c r="F324" s="401"/>
      <c r="G324" s="401"/>
      <c r="H324" s="401"/>
      <c r="I324" s="401"/>
      <c r="J324" s="401"/>
      <c r="K324" s="401"/>
      <c r="L324" s="401"/>
      <c r="M324" s="401"/>
      <c r="N324" s="401"/>
      <c r="O324" s="401"/>
      <c r="P324" s="401"/>
      <c r="Q324" s="401"/>
      <c r="R324" s="401"/>
      <c r="S324" s="401"/>
      <c r="T324" s="401"/>
    </row>
    <row r="325" spans="2:20" ht="29.25" customHeight="1">
      <c r="B325" s="290" t="s">
        <v>318</v>
      </c>
      <c r="C325" s="441" t="s">
        <v>319</v>
      </c>
      <c r="D325" s="442"/>
      <c r="E325" s="290">
        <v>30</v>
      </c>
      <c r="F325" s="290">
        <v>0.56999999999999995</v>
      </c>
      <c r="G325" s="290">
        <v>2.67</v>
      </c>
      <c r="H325" s="290">
        <v>2.31</v>
      </c>
      <c r="I325" s="285">
        <v>35.700000000000003</v>
      </c>
      <c r="J325" s="290">
        <v>0.01</v>
      </c>
      <c r="K325" s="290">
        <v>0</v>
      </c>
      <c r="L325" s="290">
        <v>2.1</v>
      </c>
      <c r="M325" s="290">
        <v>0.01</v>
      </c>
      <c r="N325" s="290"/>
      <c r="O325" s="290">
        <v>12.3</v>
      </c>
      <c r="P325" s="290">
        <v>11.1</v>
      </c>
      <c r="Q325" s="290"/>
      <c r="R325" s="290">
        <v>0</v>
      </c>
      <c r="S325" s="290">
        <v>4.5</v>
      </c>
      <c r="T325" s="290">
        <v>0.21</v>
      </c>
    </row>
    <row r="326" spans="2:20" ht="27" customHeight="1">
      <c r="B326" s="189">
        <v>71</v>
      </c>
      <c r="C326" s="406" t="s">
        <v>247</v>
      </c>
      <c r="D326" s="406"/>
      <c r="E326" s="189">
        <v>40</v>
      </c>
      <c r="F326" s="189">
        <v>0.33</v>
      </c>
      <c r="G326" s="189">
        <v>0.04</v>
      </c>
      <c r="H326" s="189">
        <v>1.1299999999999999</v>
      </c>
      <c r="I326" s="189">
        <v>6.23</v>
      </c>
      <c r="J326" s="189">
        <v>8.9999999999999993E-3</v>
      </c>
      <c r="K326" s="189">
        <v>0.01</v>
      </c>
      <c r="L326" s="189">
        <v>3</v>
      </c>
      <c r="M326" s="189">
        <v>3.0000000000000001E-3</v>
      </c>
      <c r="N326" s="189">
        <v>0.03</v>
      </c>
      <c r="O326" s="189">
        <v>6.9</v>
      </c>
      <c r="P326" s="189">
        <v>12.6</v>
      </c>
      <c r="Q326" s="189">
        <v>6.4000000000000001E-2</v>
      </c>
      <c r="R326" s="189">
        <v>1E-3</v>
      </c>
      <c r="S326" s="189">
        <v>4.2</v>
      </c>
      <c r="T326" s="189">
        <v>0.18</v>
      </c>
    </row>
    <row r="327" spans="2:20" ht="30" customHeight="1">
      <c r="B327" s="290">
        <v>279</v>
      </c>
      <c r="C327" s="406" t="s">
        <v>320</v>
      </c>
      <c r="D327" s="406"/>
      <c r="E327" s="290" t="s">
        <v>321</v>
      </c>
      <c r="F327" s="290">
        <v>11.7</v>
      </c>
      <c r="G327" s="290">
        <v>14.1</v>
      </c>
      <c r="H327" s="290">
        <v>14.9</v>
      </c>
      <c r="I327" s="290">
        <v>233.4</v>
      </c>
      <c r="J327" s="290">
        <v>0.16</v>
      </c>
      <c r="K327" s="290">
        <v>0.13</v>
      </c>
      <c r="L327" s="290">
        <v>0.31</v>
      </c>
      <c r="M327" s="290">
        <v>8.9999999999999993E-3</v>
      </c>
      <c r="N327" s="290">
        <v>0.01</v>
      </c>
      <c r="O327" s="290">
        <v>12.65</v>
      </c>
      <c r="P327" s="290">
        <v>138.55000000000001</v>
      </c>
      <c r="Q327" s="290">
        <v>1.99</v>
      </c>
      <c r="R327" s="290">
        <v>0.03</v>
      </c>
      <c r="S327" s="290">
        <v>20.29</v>
      </c>
      <c r="T327" s="290">
        <v>1.73</v>
      </c>
    </row>
    <row r="328" spans="2:20" ht="25.5" customHeight="1">
      <c r="B328" s="289">
        <v>203</v>
      </c>
      <c r="C328" s="417" t="s">
        <v>304</v>
      </c>
      <c r="D328" s="417"/>
      <c r="E328" s="289">
        <v>150</v>
      </c>
      <c r="F328" s="289">
        <v>5.52</v>
      </c>
      <c r="G328" s="289">
        <v>4.5199999999999996</v>
      </c>
      <c r="H328" s="289">
        <v>26.45</v>
      </c>
      <c r="I328" s="289">
        <v>161.9</v>
      </c>
      <c r="J328" s="289">
        <v>0.09</v>
      </c>
      <c r="K328" s="289">
        <v>0.03</v>
      </c>
      <c r="L328" s="289">
        <v>0</v>
      </c>
      <c r="M328" s="289">
        <v>0.03</v>
      </c>
      <c r="N328" s="289">
        <v>1.25</v>
      </c>
      <c r="O328" s="289">
        <v>13.28</v>
      </c>
      <c r="P328" s="289">
        <v>46.21</v>
      </c>
      <c r="Q328" s="289">
        <v>0.78</v>
      </c>
      <c r="R328" s="289">
        <v>2E-3</v>
      </c>
      <c r="S328" s="289">
        <v>8.4700000000000006</v>
      </c>
      <c r="T328" s="289">
        <v>0.86</v>
      </c>
    </row>
    <row r="329" spans="2:20" ht="18.75" customHeight="1">
      <c r="B329" s="289">
        <v>338</v>
      </c>
      <c r="C329" s="417" t="s">
        <v>288</v>
      </c>
      <c r="D329" s="417"/>
      <c r="E329" s="289">
        <v>100</v>
      </c>
      <c r="F329" s="289">
        <v>0.4</v>
      </c>
      <c r="G329" s="289">
        <v>0.4</v>
      </c>
      <c r="H329" s="289">
        <v>9.8000000000000007</v>
      </c>
      <c r="I329" s="289">
        <v>44.4</v>
      </c>
      <c r="J329" s="289">
        <v>0.04</v>
      </c>
      <c r="K329" s="289">
        <v>0.02</v>
      </c>
      <c r="L329" s="289">
        <v>10</v>
      </c>
      <c r="M329" s="289">
        <v>0</v>
      </c>
      <c r="N329" s="289">
        <v>0.2</v>
      </c>
      <c r="O329" s="289">
        <v>16</v>
      </c>
      <c r="P329" s="289">
        <v>11</v>
      </c>
      <c r="Q329" s="289">
        <v>0</v>
      </c>
      <c r="R329" s="289">
        <v>0</v>
      </c>
      <c r="S329" s="289">
        <v>9</v>
      </c>
      <c r="T329" s="289">
        <v>2.2000000000000002</v>
      </c>
    </row>
    <row r="330" spans="2:20">
      <c r="B330" s="289">
        <v>381</v>
      </c>
      <c r="C330" s="417" t="s">
        <v>322</v>
      </c>
      <c r="D330" s="417"/>
      <c r="E330" s="289">
        <v>200</v>
      </c>
      <c r="F330" s="289"/>
      <c r="G330" s="289"/>
      <c r="H330" s="289">
        <v>19.96</v>
      </c>
      <c r="I330" s="289">
        <v>75</v>
      </c>
      <c r="J330" s="289"/>
      <c r="K330" s="289"/>
      <c r="L330" s="289"/>
      <c r="M330" s="289"/>
      <c r="N330" s="289">
        <v>0</v>
      </c>
      <c r="O330" s="289">
        <v>0.4</v>
      </c>
      <c r="P330" s="289"/>
      <c r="Q330" s="289">
        <v>0</v>
      </c>
      <c r="R330" s="289"/>
      <c r="S330" s="289"/>
      <c r="T330" s="289">
        <v>0.06</v>
      </c>
    </row>
    <row r="331" spans="2:20" ht="18" customHeight="1">
      <c r="B331" s="289" t="s">
        <v>224</v>
      </c>
      <c r="C331" s="417" t="s">
        <v>161</v>
      </c>
      <c r="D331" s="417"/>
      <c r="E331" s="289">
        <v>40</v>
      </c>
      <c r="F331" s="289">
        <v>3.04</v>
      </c>
      <c r="G331" s="289">
        <v>0.32</v>
      </c>
      <c r="H331" s="289">
        <v>19.68</v>
      </c>
      <c r="I331" s="289">
        <v>89</v>
      </c>
      <c r="J331" s="289">
        <v>0.04</v>
      </c>
      <c r="K331" s="289">
        <v>0.01</v>
      </c>
      <c r="L331" s="289">
        <v>0.88</v>
      </c>
      <c r="M331" s="289">
        <v>0</v>
      </c>
      <c r="N331" s="289">
        <v>0.7</v>
      </c>
      <c r="O331" s="289">
        <v>8</v>
      </c>
      <c r="P331" s="289">
        <v>26</v>
      </c>
      <c r="Q331" s="289">
        <v>8.0000000000000002E-3</v>
      </c>
      <c r="R331" s="289">
        <v>3.0000000000000001E-3</v>
      </c>
      <c r="S331" s="289">
        <v>0</v>
      </c>
      <c r="T331" s="289">
        <v>0.44</v>
      </c>
    </row>
    <row r="332" spans="2:20" ht="15" customHeight="1">
      <c r="B332" s="286" t="s">
        <v>251</v>
      </c>
      <c r="C332" s="287"/>
      <c r="D332" s="292"/>
      <c r="E332" s="284">
        <f>E326+E328+E329+E330+E331+100</f>
        <v>630</v>
      </c>
      <c r="F332" s="284">
        <f>F326+F327+F328+F329+F330+F331</f>
        <v>20.989999999999995</v>
      </c>
      <c r="G332" s="284">
        <f t="shared" ref="G332:T332" si="65">G326+G327+G328+G329+G330+G331</f>
        <v>19.379999999999995</v>
      </c>
      <c r="H332" s="284">
        <f t="shared" si="65"/>
        <v>91.920000000000016</v>
      </c>
      <c r="I332" s="284">
        <f t="shared" si="65"/>
        <v>609.92999999999995</v>
      </c>
      <c r="J332" s="284">
        <f t="shared" si="65"/>
        <v>0.33899999999999997</v>
      </c>
      <c r="K332" s="284">
        <f t="shared" si="65"/>
        <v>0.2</v>
      </c>
      <c r="L332" s="284">
        <f t="shared" si="65"/>
        <v>14.190000000000001</v>
      </c>
      <c r="M332" s="284">
        <f t="shared" si="65"/>
        <v>4.1999999999999996E-2</v>
      </c>
      <c r="N332" s="284">
        <f t="shared" si="65"/>
        <v>2.19</v>
      </c>
      <c r="O332" s="284">
        <f t="shared" si="65"/>
        <v>57.23</v>
      </c>
      <c r="P332" s="284">
        <f t="shared" si="65"/>
        <v>234.36</v>
      </c>
      <c r="Q332" s="284">
        <f t="shared" si="65"/>
        <v>2.8419999999999996</v>
      </c>
      <c r="R332" s="284">
        <f t="shared" si="65"/>
        <v>3.6000000000000004E-2</v>
      </c>
      <c r="S332" s="284">
        <f t="shared" si="65"/>
        <v>41.96</v>
      </c>
      <c r="T332" s="284">
        <f t="shared" si="65"/>
        <v>5.4700000000000006</v>
      </c>
    </row>
    <row r="333" spans="2:20" ht="15" customHeight="1">
      <c r="B333" s="401" t="s">
        <v>226</v>
      </c>
      <c r="C333" s="401"/>
      <c r="D333" s="401"/>
      <c r="E333" s="401"/>
      <c r="F333" s="182">
        <f t="shared" ref="F333:T333" si="66">F332/F350</f>
        <v>0.27259740259740251</v>
      </c>
      <c r="G333" s="182">
        <f t="shared" si="66"/>
        <v>0.24531645569620247</v>
      </c>
      <c r="H333" s="182">
        <f t="shared" si="66"/>
        <v>0.2743880597014926</v>
      </c>
      <c r="I333" s="182">
        <f t="shared" si="66"/>
        <v>0.2595446808510638</v>
      </c>
      <c r="J333" s="182">
        <f t="shared" si="66"/>
        <v>0.28249999999999997</v>
      </c>
      <c r="K333" s="182">
        <f t="shared" si="66"/>
        <v>0.14285714285714288</v>
      </c>
      <c r="L333" s="182">
        <f t="shared" si="66"/>
        <v>0.23650000000000002</v>
      </c>
      <c r="M333" s="182">
        <f t="shared" si="66"/>
        <v>0.06</v>
      </c>
      <c r="N333" s="182">
        <f t="shared" si="66"/>
        <v>0.219</v>
      </c>
      <c r="O333" s="182">
        <f t="shared" si="66"/>
        <v>5.2027272727272728E-2</v>
      </c>
      <c r="P333" s="182">
        <f t="shared" si="66"/>
        <v>0.21305454545454547</v>
      </c>
      <c r="Q333" s="182">
        <f t="shared" si="66"/>
        <v>0.28419999999999995</v>
      </c>
      <c r="R333" s="182">
        <f t="shared" si="66"/>
        <v>0.36000000000000004</v>
      </c>
      <c r="S333" s="182">
        <f t="shared" si="66"/>
        <v>0.16784000000000002</v>
      </c>
      <c r="T333" s="182">
        <f t="shared" si="66"/>
        <v>0.45583333333333337</v>
      </c>
    </row>
    <row r="334" spans="2:20">
      <c r="B334" s="401" t="s">
        <v>227</v>
      </c>
      <c r="C334" s="401"/>
      <c r="D334" s="401"/>
      <c r="E334" s="401"/>
      <c r="F334" s="401"/>
      <c r="G334" s="401"/>
      <c r="H334" s="401"/>
      <c r="I334" s="401"/>
      <c r="J334" s="401"/>
      <c r="K334" s="401"/>
      <c r="L334" s="401"/>
      <c r="M334" s="401"/>
      <c r="N334" s="401"/>
      <c r="O334" s="401"/>
      <c r="P334" s="401"/>
      <c r="Q334" s="401"/>
      <c r="R334" s="401"/>
      <c r="S334" s="401"/>
      <c r="T334" s="401"/>
    </row>
    <row r="335" spans="2:20" ht="19.5" customHeight="1">
      <c r="B335" s="289">
        <v>52</v>
      </c>
      <c r="C335" s="417" t="s">
        <v>252</v>
      </c>
      <c r="D335" s="417"/>
      <c r="E335" s="289">
        <v>60</v>
      </c>
      <c r="F335" s="289">
        <v>0.86</v>
      </c>
      <c r="G335" s="289">
        <v>3.05</v>
      </c>
      <c r="H335" s="289">
        <v>5.13</v>
      </c>
      <c r="I335" s="289">
        <v>50.13</v>
      </c>
      <c r="J335" s="289">
        <v>0.01</v>
      </c>
      <c r="K335" s="289">
        <v>0.02</v>
      </c>
      <c r="L335" s="289">
        <v>5.7</v>
      </c>
      <c r="M335" s="289">
        <v>0.01</v>
      </c>
      <c r="N335" s="289">
        <v>0.1</v>
      </c>
      <c r="O335" s="289">
        <v>26.61</v>
      </c>
      <c r="P335" s="289">
        <v>25.64</v>
      </c>
      <c r="Q335" s="289">
        <v>0.43</v>
      </c>
      <c r="R335" s="289">
        <v>0.01</v>
      </c>
      <c r="S335" s="289">
        <v>12.9</v>
      </c>
      <c r="T335" s="289">
        <v>0.84</v>
      </c>
    </row>
    <row r="336" spans="2:20" ht="17.25" customHeight="1">
      <c r="B336" s="289">
        <v>124</v>
      </c>
      <c r="C336" s="417" t="s">
        <v>323</v>
      </c>
      <c r="D336" s="417"/>
      <c r="E336" s="289">
        <v>200</v>
      </c>
      <c r="F336" s="289">
        <v>1.4</v>
      </c>
      <c r="G336" s="289">
        <v>4.5</v>
      </c>
      <c r="H336" s="289">
        <v>6.8</v>
      </c>
      <c r="I336" s="289">
        <v>76</v>
      </c>
      <c r="J336" s="289">
        <v>0.04</v>
      </c>
      <c r="K336" s="289">
        <v>0.04</v>
      </c>
      <c r="L336" s="289">
        <v>9.6</v>
      </c>
      <c r="M336" s="289">
        <v>0.04</v>
      </c>
      <c r="N336" s="289"/>
      <c r="O336" s="289">
        <v>25.44</v>
      </c>
      <c r="P336" s="289">
        <v>0</v>
      </c>
      <c r="Q336" s="289"/>
      <c r="R336" s="289">
        <v>0</v>
      </c>
      <c r="S336" s="289">
        <v>15.28</v>
      </c>
      <c r="T336" s="289">
        <v>0.56000000000000005</v>
      </c>
    </row>
    <row r="337" spans="2:20" ht="28.5" customHeight="1">
      <c r="B337" s="289">
        <v>232</v>
      </c>
      <c r="C337" s="417" t="s">
        <v>324</v>
      </c>
      <c r="D337" s="417"/>
      <c r="E337" s="289">
        <v>90</v>
      </c>
      <c r="F337" s="289">
        <v>19.989999999999998</v>
      </c>
      <c r="G337" s="289">
        <v>10.49</v>
      </c>
      <c r="H337" s="289">
        <v>2.69</v>
      </c>
      <c r="I337" s="289">
        <v>185.1</v>
      </c>
      <c r="J337" s="289">
        <v>0.2</v>
      </c>
      <c r="K337" s="289">
        <v>0.17</v>
      </c>
      <c r="L337" s="289">
        <v>0.9</v>
      </c>
      <c r="M337" s="289">
        <v>0.03</v>
      </c>
      <c r="N337" s="289">
        <v>0.1125</v>
      </c>
      <c r="O337" s="289">
        <v>37.5</v>
      </c>
      <c r="P337" s="289">
        <v>11.3</v>
      </c>
      <c r="Q337" s="289">
        <v>0.2</v>
      </c>
      <c r="R337" s="289">
        <v>0.01</v>
      </c>
      <c r="S337" s="289">
        <v>20.72</v>
      </c>
      <c r="T337" s="289">
        <v>0.71</v>
      </c>
    </row>
    <row r="338" spans="2:20" ht="26.25" customHeight="1">
      <c r="B338" s="289">
        <v>312</v>
      </c>
      <c r="C338" s="417" t="s">
        <v>256</v>
      </c>
      <c r="D338" s="417"/>
      <c r="E338" s="289">
        <v>150</v>
      </c>
      <c r="F338" s="289">
        <v>3.29</v>
      </c>
      <c r="G338" s="289">
        <v>7.06</v>
      </c>
      <c r="H338" s="289">
        <v>22.21</v>
      </c>
      <c r="I338" s="289">
        <v>165.54</v>
      </c>
      <c r="J338" s="289">
        <v>0.16</v>
      </c>
      <c r="K338" s="289">
        <v>0.13</v>
      </c>
      <c r="L338" s="289">
        <v>26.11</v>
      </c>
      <c r="M338" s="289">
        <v>0.08</v>
      </c>
      <c r="N338" s="289">
        <v>1.5</v>
      </c>
      <c r="O338" s="289">
        <v>42.54</v>
      </c>
      <c r="P338" s="289">
        <v>97.8</v>
      </c>
      <c r="Q338" s="289">
        <v>0.29899999999999999</v>
      </c>
      <c r="R338" s="289">
        <v>1E-3</v>
      </c>
      <c r="S338" s="289">
        <v>33.06</v>
      </c>
      <c r="T338" s="289">
        <v>1.19</v>
      </c>
    </row>
    <row r="339" spans="2:20" ht="15" customHeight="1">
      <c r="B339" s="289">
        <v>376</v>
      </c>
      <c r="C339" s="417" t="s">
        <v>141</v>
      </c>
      <c r="D339" s="417"/>
      <c r="E339" s="289">
        <v>200</v>
      </c>
      <c r="F339" s="289">
        <v>0.2</v>
      </c>
      <c r="G339" s="289">
        <v>0.05</v>
      </c>
      <c r="H339" s="289">
        <v>15.01</v>
      </c>
      <c r="I339" s="289">
        <v>61</v>
      </c>
      <c r="J339" s="289">
        <v>0</v>
      </c>
      <c r="K339" s="289">
        <v>0.01</v>
      </c>
      <c r="L339" s="289">
        <v>9</v>
      </c>
      <c r="M339" s="289">
        <v>1E-4</v>
      </c>
      <c r="N339" s="289">
        <v>4.4999999999999998E-2</v>
      </c>
      <c r="O339" s="289">
        <v>5.25</v>
      </c>
      <c r="P339" s="289">
        <v>8.24</v>
      </c>
      <c r="Q339" s="289">
        <v>8.0000000000000002E-3</v>
      </c>
      <c r="R339" s="289">
        <v>0</v>
      </c>
      <c r="S339" s="289">
        <v>4.4000000000000004</v>
      </c>
      <c r="T339" s="289">
        <v>0.87</v>
      </c>
    </row>
    <row r="340" spans="2:20" ht="19.5" customHeight="1">
      <c r="B340" s="289" t="s">
        <v>224</v>
      </c>
      <c r="C340" s="417" t="s">
        <v>235</v>
      </c>
      <c r="D340" s="417"/>
      <c r="E340" s="289">
        <v>40</v>
      </c>
      <c r="F340" s="289">
        <v>2.64</v>
      </c>
      <c r="G340" s="289">
        <v>0.48</v>
      </c>
      <c r="H340" s="289">
        <v>13.68</v>
      </c>
      <c r="I340" s="289">
        <v>69.599999999999994</v>
      </c>
      <c r="J340" s="289">
        <v>0.08</v>
      </c>
      <c r="K340" s="289">
        <v>0.04</v>
      </c>
      <c r="L340" s="289">
        <v>0</v>
      </c>
      <c r="M340" s="289">
        <v>0</v>
      </c>
      <c r="N340" s="289">
        <v>2.4</v>
      </c>
      <c r="O340" s="289">
        <v>14</v>
      </c>
      <c r="P340" s="289">
        <v>63.2</v>
      </c>
      <c r="Q340" s="289">
        <v>1.2</v>
      </c>
      <c r="R340" s="289">
        <v>1E-3</v>
      </c>
      <c r="S340" s="289">
        <v>9.4</v>
      </c>
      <c r="T340" s="289">
        <v>0.78</v>
      </c>
    </row>
    <row r="341" spans="2:20" ht="15" customHeight="1">
      <c r="B341" s="289" t="s">
        <v>224</v>
      </c>
      <c r="C341" s="417" t="s">
        <v>117</v>
      </c>
      <c r="D341" s="417"/>
      <c r="E341" s="289">
        <v>30</v>
      </c>
      <c r="F341" s="289">
        <v>1.52</v>
      </c>
      <c r="G341" s="289">
        <v>0.16</v>
      </c>
      <c r="H341" s="289">
        <v>9.84</v>
      </c>
      <c r="I341" s="289">
        <v>46.9</v>
      </c>
      <c r="J341" s="289">
        <v>0.02</v>
      </c>
      <c r="K341" s="289">
        <v>0.01</v>
      </c>
      <c r="L341" s="289">
        <v>0.44</v>
      </c>
      <c r="M341" s="289">
        <v>0</v>
      </c>
      <c r="N341" s="289">
        <v>0.7</v>
      </c>
      <c r="O341" s="289">
        <v>4</v>
      </c>
      <c r="P341" s="289">
        <v>13</v>
      </c>
      <c r="Q341" s="289">
        <v>8.0000000000000002E-3</v>
      </c>
      <c r="R341" s="289">
        <v>1E-3</v>
      </c>
      <c r="S341" s="289">
        <v>0</v>
      </c>
      <c r="T341" s="289">
        <v>0.22</v>
      </c>
    </row>
    <row r="342" spans="2:20" ht="26.25" customHeight="1">
      <c r="B342" s="401" t="s">
        <v>236</v>
      </c>
      <c r="C342" s="401"/>
      <c r="D342" s="401"/>
      <c r="E342" s="284">
        <f>SUM(E335:E341)</f>
        <v>770</v>
      </c>
      <c r="F342" s="284">
        <f>SUM(F335:F341)</f>
        <v>29.9</v>
      </c>
      <c r="G342" s="284">
        <f t="shared" ref="G342:T342" si="67">SUM(G335:G341)</f>
        <v>25.79</v>
      </c>
      <c r="H342" s="284">
        <f t="shared" si="67"/>
        <v>75.36</v>
      </c>
      <c r="I342" s="284">
        <f t="shared" si="67"/>
        <v>654.27</v>
      </c>
      <c r="J342" s="284">
        <f t="shared" si="67"/>
        <v>0.51</v>
      </c>
      <c r="K342" s="284">
        <f t="shared" si="67"/>
        <v>0.42</v>
      </c>
      <c r="L342" s="284">
        <f t="shared" si="67"/>
        <v>51.75</v>
      </c>
      <c r="M342" s="284">
        <f t="shared" si="67"/>
        <v>0.16009999999999999</v>
      </c>
      <c r="N342" s="284">
        <f t="shared" si="67"/>
        <v>4.8574999999999999</v>
      </c>
      <c r="O342" s="284">
        <f t="shared" si="67"/>
        <v>155.34</v>
      </c>
      <c r="P342" s="284">
        <f t="shared" si="67"/>
        <v>219.18</v>
      </c>
      <c r="Q342" s="284">
        <f t="shared" si="67"/>
        <v>2.145</v>
      </c>
      <c r="R342" s="284">
        <f t="shared" si="67"/>
        <v>2.3000000000000003E-2</v>
      </c>
      <c r="S342" s="284">
        <f t="shared" si="67"/>
        <v>95.760000000000019</v>
      </c>
      <c r="T342" s="284">
        <f t="shared" si="67"/>
        <v>5.17</v>
      </c>
    </row>
    <row r="343" spans="2:20" ht="15" customHeight="1">
      <c r="B343" s="401" t="s">
        <v>226</v>
      </c>
      <c r="C343" s="401"/>
      <c r="D343" s="401"/>
      <c r="E343" s="401"/>
      <c r="F343" s="182">
        <f>F342/F350</f>
        <v>0.38831168831168827</v>
      </c>
      <c r="G343" s="182">
        <f t="shared" ref="G343:T343" si="68">G342/G350</f>
        <v>0.32645569620253162</v>
      </c>
      <c r="H343" s="182">
        <f t="shared" si="68"/>
        <v>0.22495522388059702</v>
      </c>
      <c r="I343" s="182">
        <f t="shared" si="68"/>
        <v>0.2784127659574468</v>
      </c>
      <c r="J343" s="182">
        <f t="shared" si="68"/>
        <v>0.42500000000000004</v>
      </c>
      <c r="K343" s="182">
        <f t="shared" si="68"/>
        <v>0.3</v>
      </c>
      <c r="L343" s="182">
        <f t="shared" si="68"/>
        <v>0.86250000000000004</v>
      </c>
      <c r="M343" s="182">
        <f t="shared" si="68"/>
        <v>0.22871428571428573</v>
      </c>
      <c r="N343" s="182">
        <f t="shared" si="68"/>
        <v>0.48575000000000002</v>
      </c>
      <c r="O343" s="182">
        <f t="shared" si="68"/>
        <v>0.14121818181818183</v>
      </c>
      <c r="P343" s="182">
        <f t="shared" si="68"/>
        <v>0.19925454545454546</v>
      </c>
      <c r="Q343" s="182">
        <f t="shared" si="68"/>
        <v>0.2145</v>
      </c>
      <c r="R343" s="182">
        <f t="shared" si="68"/>
        <v>0.23</v>
      </c>
      <c r="S343" s="182">
        <f t="shared" si="68"/>
        <v>0.3830400000000001</v>
      </c>
      <c r="T343" s="182">
        <f t="shared" si="68"/>
        <v>0.43083333333333335</v>
      </c>
    </row>
    <row r="344" spans="2:20">
      <c r="B344" s="416" t="s">
        <v>237</v>
      </c>
      <c r="C344" s="416"/>
      <c r="D344" s="416"/>
      <c r="E344" s="416"/>
      <c r="F344" s="416"/>
      <c r="G344" s="416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  <c r="T344" s="416"/>
    </row>
    <row r="345" spans="2:20" ht="15" customHeight="1">
      <c r="B345" s="290" t="s">
        <v>224</v>
      </c>
      <c r="C345" s="406" t="s">
        <v>282</v>
      </c>
      <c r="D345" s="406"/>
      <c r="E345" s="290">
        <v>65</v>
      </c>
      <c r="F345" s="290">
        <v>4.16</v>
      </c>
      <c r="G345" s="290">
        <v>8.14</v>
      </c>
      <c r="H345" s="290">
        <v>33.799999999999997</v>
      </c>
      <c r="I345" s="290">
        <v>225.34</v>
      </c>
      <c r="J345" s="290">
        <v>0.06</v>
      </c>
      <c r="K345" s="290">
        <v>0.05</v>
      </c>
      <c r="L345" s="290">
        <v>0</v>
      </c>
      <c r="M345" s="290">
        <v>0.06</v>
      </c>
      <c r="N345" s="290"/>
      <c r="O345" s="290">
        <v>11.26</v>
      </c>
      <c r="P345" s="290">
        <v>0</v>
      </c>
      <c r="Q345" s="290"/>
      <c r="R345" s="290">
        <v>0</v>
      </c>
      <c r="S345" s="290">
        <v>0</v>
      </c>
      <c r="T345" s="290">
        <v>0.6</v>
      </c>
    </row>
    <row r="346" spans="2:20" ht="15" customHeight="1">
      <c r="B346" s="290">
        <v>648</v>
      </c>
      <c r="C346" s="406" t="s">
        <v>294</v>
      </c>
      <c r="D346" s="406"/>
      <c r="E346" s="290">
        <v>200</v>
      </c>
      <c r="F346" s="290">
        <v>0</v>
      </c>
      <c r="G346" s="290">
        <v>0</v>
      </c>
      <c r="H346" s="290">
        <v>20</v>
      </c>
      <c r="I346" s="290">
        <v>76</v>
      </c>
      <c r="J346" s="290">
        <v>0</v>
      </c>
      <c r="K346" s="290">
        <v>0</v>
      </c>
      <c r="L346" s="290">
        <v>0</v>
      </c>
      <c r="M346" s="290">
        <v>0</v>
      </c>
      <c r="N346" s="290"/>
      <c r="O346" s="290">
        <v>0.48</v>
      </c>
      <c r="P346" s="290">
        <v>0</v>
      </c>
      <c r="Q346" s="290">
        <v>0</v>
      </c>
      <c r="R346" s="290">
        <v>0</v>
      </c>
      <c r="S346" s="290">
        <v>0</v>
      </c>
      <c r="T346" s="290">
        <v>0.06</v>
      </c>
    </row>
    <row r="347" spans="2:20">
      <c r="B347" s="413" t="s">
        <v>240</v>
      </c>
      <c r="C347" s="414"/>
      <c r="D347" s="415"/>
      <c r="E347" s="283">
        <f>SUM(E345:E346)</f>
        <v>265</v>
      </c>
      <c r="F347" s="283">
        <f t="shared" ref="F347:T347" si="69">SUM(F345:F346)</f>
        <v>4.16</v>
      </c>
      <c r="G347" s="283">
        <f t="shared" si="69"/>
        <v>8.14</v>
      </c>
      <c r="H347" s="283">
        <f t="shared" si="69"/>
        <v>53.8</v>
      </c>
      <c r="I347" s="283">
        <f t="shared" si="69"/>
        <v>301.34000000000003</v>
      </c>
      <c r="J347" s="283">
        <f t="shared" si="69"/>
        <v>0.06</v>
      </c>
      <c r="K347" s="283">
        <f t="shared" si="69"/>
        <v>0.05</v>
      </c>
      <c r="L347" s="283">
        <f t="shared" si="69"/>
        <v>0</v>
      </c>
      <c r="M347" s="283">
        <f t="shared" si="69"/>
        <v>0.06</v>
      </c>
      <c r="N347" s="283">
        <f t="shared" si="69"/>
        <v>0</v>
      </c>
      <c r="O347" s="283">
        <f t="shared" si="69"/>
        <v>11.74</v>
      </c>
      <c r="P347" s="283">
        <f t="shared" si="69"/>
        <v>0</v>
      </c>
      <c r="Q347" s="283">
        <f t="shared" si="69"/>
        <v>0</v>
      </c>
      <c r="R347" s="283">
        <f t="shared" si="69"/>
        <v>0</v>
      </c>
      <c r="S347" s="283">
        <f t="shared" si="69"/>
        <v>0</v>
      </c>
      <c r="T347" s="283">
        <f t="shared" si="69"/>
        <v>0.65999999999999992</v>
      </c>
    </row>
    <row r="348" spans="2:20" ht="15" customHeight="1">
      <c r="B348" s="401" t="s">
        <v>226</v>
      </c>
      <c r="C348" s="401"/>
      <c r="D348" s="401"/>
      <c r="E348" s="401"/>
      <c r="F348" s="182">
        <f>F347/F350</f>
        <v>5.4025974025974026E-2</v>
      </c>
      <c r="G348" s="182">
        <f t="shared" ref="G348:T348" si="70">G347/G350</f>
        <v>0.10303797468354431</v>
      </c>
      <c r="H348" s="182">
        <f t="shared" si="70"/>
        <v>0.16059701492537312</v>
      </c>
      <c r="I348" s="182">
        <f t="shared" si="70"/>
        <v>0.12822978723404257</v>
      </c>
      <c r="J348" s="182">
        <f t="shared" si="70"/>
        <v>0.05</v>
      </c>
      <c r="K348" s="182">
        <f t="shared" si="70"/>
        <v>3.5714285714285719E-2</v>
      </c>
      <c r="L348" s="182">
        <f t="shared" si="70"/>
        <v>0</v>
      </c>
      <c r="M348" s="182">
        <f t="shared" si="70"/>
        <v>8.5714285714285715E-2</v>
      </c>
      <c r="N348" s="182">
        <f t="shared" si="70"/>
        <v>0</v>
      </c>
      <c r="O348" s="182">
        <f t="shared" si="70"/>
        <v>1.0672727272727273E-2</v>
      </c>
      <c r="P348" s="182">
        <f t="shared" si="70"/>
        <v>0</v>
      </c>
      <c r="Q348" s="182">
        <f t="shared" si="70"/>
        <v>0</v>
      </c>
      <c r="R348" s="182">
        <f t="shared" si="70"/>
        <v>0</v>
      </c>
      <c r="S348" s="182">
        <f t="shared" si="70"/>
        <v>0</v>
      </c>
      <c r="T348" s="182">
        <f t="shared" si="70"/>
        <v>5.4999999999999993E-2</v>
      </c>
    </row>
    <row r="349" spans="2:20" ht="15" customHeight="1">
      <c r="B349" s="401" t="s">
        <v>241</v>
      </c>
      <c r="C349" s="401"/>
      <c r="D349" s="401"/>
      <c r="E349" s="401"/>
      <c r="F349" s="284">
        <f>F347+F342+F332</f>
        <v>55.05</v>
      </c>
      <c r="G349" s="284">
        <f t="shared" ref="G349:T349" si="71">G347+G342+G332</f>
        <v>53.309999999999995</v>
      </c>
      <c r="H349" s="284">
        <f t="shared" si="71"/>
        <v>221.08</v>
      </c>
      <c r="I349" s="284">
        <f t="shared" si="71"/>
        <v>1565.54</v>
      </c>
      <c r="J349" s="284">
        <f t="shared" si="71"/>
        <v>0.90900000000000003</v>
      </c>
      <c r="K349" s="284">
        <f t="shared" si="71"/>
        <v>0.66999999999999993</v>
      </c>
      <c r="L349" s="284">
        <f t="shared" si="71"/>
        <v>65.94</v>
      </c>
      <c r="M349" s="284">
        <f t="shared" si="71"/>
        <v>0.2621</v>
      </c>
      <c r="N349" s="284">
        <f t="shared" si="71"/>
        <v>7.0474999999999994</v>
      </c>
      <c r="O349" s="284">
        <f t="shared" si="71"/>
        <v>224.31</v>
      </c>
      <c r="P349" s="284">
        <f t="shared" si="71"/>
        <v>453.54</v>
      </c>
      <c r="Q349" s="284">
        <f t="shared" si="71"/>
        <v>4.9870000000000001</v>
      </c>
      <c r="R349" s="284">
        <f t="shared" si="71"/>
        <v>5.9000000000000011E-2</v>
      </c>
      <c r="S349" s="284">
        <f t="shared" si="71"/>
        <v>137.72000000000003</v>
      </c>
      <c r="T349" s="284">
        <f t="shared" si="71"/>
        <v>11.3</v>
      </c>
    </row>
    <row r="350" spans="2:20" ht="15" customHeight="1">
      <c r="B350" s="401" t="s">
        <v>242</v>
      </c>
      <c r="C350" s="401"/>
      <c r="D350" s="401"/>
      <c r="E350" s="401"/>
      <c r="F350" s="289">
        <v>77</v>
      </c>
      <c r="G350" s="289">
        <v>79</v>
      </c>
      <c r="H350" s="289">
        <v>335</v>
      </c>
      <c r="I350" s="289">
        <v>2350</v>
      </c>
      <c r="J350" s="289">
        <v>1.2</v>
      </c>
      <c r="K350" s="289">
        <v>1.4</v>
      </c>
      <c r="L350" s="289">
        <v>60</v>
      </c>
      <c r="M350" s="289">
        <v>0.7</v>
      </c>
      <c r="N350" s="289">
        <v>10</v>
      </c>
      <c r="O350" s="289">
        <v>1100</v>
      </c>
      <c r="P350" s="289">
        <v>1100</v>
      </c>
      <c r="Q350" s="289">
        <v>10</v>
      </c>
      <c r="R350" s="289">
        <v>0.1</v>
      </c>
      <c r="S350" s="289">
        <v>250</v>
      </c>
      <c r="T350" s="289">
        <v>12</v>
      </c>
    </row>
    <row r="351" spans="2:20" ht="15" customHeight="1" thickBot="1">
      <c r="B351" s="401" t="s">
        <v>226</v>
      </c>
      <c r="C351" s="401"/>
      <c r="D351" s="401"/>
      <c r="E351" s="401"/>
      <c r="F351" s="182">
        <f>F349/F350</f>
        <v>0.71493506493506487</v>
      </c>
      <c r="G351" s="182">
        <f t="shared" ref="G351:T351" si="72">G349/G350</f>
        <v>0.67481012658227846</v>
      </c>
      <c r="H351" s="182">
        <f t="shared" si="72"/>
        <v>0.65994029850746272</v>
      </c>
      <c r="I351" s="182">
        <f t="shared" si="72"/>
        <v>0.6661872340425532</v>
      </c>
      <c r="J351" s="182">
        <f t="shared" si="72"/>
        <v>0.75750000000000006</v>
      </c>
      <c r="K351" s="182">
        <f t="shared" si="72"/>
        <v>0.47857142857142854</v>
      </c>
      <c r="L351" s="182">
        <f t="shared" si="72"/>
        <v>1.099</v>
      </c>
      <c r="M351" s="182">
        <f t="shared" si="72"/>
        <v>0.37442857142857144</v>
      </c>
      <c r="N351" s="182">
        <f t="shared" si="72"/>
        <v>0.70474999999999999</v>
      </c>
      <c r="O351" s="182">
        <f t="shared" si="72"/>
        <v>0.20391818181818183</v>
      </c>
      <c r="P351" s="182">
        <f t="shared" si="72"/>
        <v>0.4123090909090909</v>
      </c>
      <c r="Q351" s="182">
        <f t="shared" si="72"/>
        <v>0.49870000000000003</v>
      </c>
      <c r="R351" s="182">
        <f t="shared" si="72"/>
        <v>0.59000000000000008</v>
      </c>
      <c r="S351" s="182">
        <f t="shared" si="72"/>
        <v>0.55088000000000015</v>
      </c>
      <c r="T351" s="182">
        <f t="shared" si="72"/>
        <v>0.94166666666666676</v>
      </c>
    </row>
    <row r="352" spans="2:20" ht="15.75" thickTop="1">
      <c r="B352" s="443" t="s">
        <v>295</v>
      </c>
      <c r="C352" s="443"/>
      <c r="D352" s="443"/>
      <c r="E352" s="443"/>
      <c r="F352" s="245">
        <f t="shared" ref="F352:T352" si="73">(F196+F229+F260+F297+F332)/5</f>
        <v>20.367999999999999</v>
      </c>
      <c r="G352" s="245">
        <f t="shared" si="73"/>
        <v>23.47</v>
      </c>
      <c r="H352" s="245">
        <f t="shared" si="73"/>
        <v>77.114000000000004</v>
      </c>
      <c r="I352" s="245">
        <f t="shared" si="73"/>
        <v>588.99399999999991</v>
      </c>
      <c r="J352" s="245">
        <f t="shared" si="73"/>
        <v>0.28139999999999998</v>
      </c>
      <c r="K352" s="245">
        <f t="shared" si="73"/>
        <v>0.38180000000000003</v>
      </c>
      <c r="L352" s="245">
        <f t="shared" si="73"/>
        <v>35.531999999999996</v>
      </c>
      <c r="M352" s="245">
        <f t="shared" si="73"/>
        <v>0.13486000000000004</v>
      </c>
      <c r="N352" s="245">
        <f t="shared" si="73"/>
        <v>1.927</v>
      </c>
      <c r="O352" s="245">
        <f t="shared" si="73"/>
        <v>248.46400000000003</v>
      </c>
      <c r="P352" s="245">
        <f t="shared" si="73"/>
        <v>380.10399999999998</v>
      </c>
      <c r="Q352" s="245">
        <f t="shared" si="73"/>
        <v>1.6681999999999999</v>
      </c>
      <c r="R352" s="245">
        <f t="shared" si="73"/>
        <v>3.56E-2</v>
      </c>
      <c r="S352" s="245">
        <f t="shared" si="73"/>
        <v>74.518000000000001</v>
      </c>
      <c r="T352" s="245">
        <f t="shared" si="73"/>
        <v>4.5579999999999998</v>
      </c>
    </row>
    <row r="353" spans="2:20">
      <c r="B353" s="405" t="s">
        <v>242</v>
      </c>
      <c r="C353" s="405"/>
      <c r="D353" s="405"/>
      <c r="E353" s="405"/>
      <c r="F353" s="266">
        <v>77</v>
      </c>
      <c r="G353" s="266">
        <v>79</v>
      </c>
      <c r="H353" s="266">
        <v>335</v>
      </c>
      <c r="I353" s="266">
        <v>2350</v>
      </c>
      <c r="J353" s="266">
        <v>1.2</v>
      </c>
      <c r="K353" s="266">
        <v>1.4</v>
      </c>
      <c r="L353" s="266">
        <v>60</v>
      </c>
      <c r="M353" s="266">
        <v>0.7</v>
      </c>
      <c r="N353" s="266">
        <v>10</v>
      </c>
      <c r="O353" s="266">
        <v>1100</v>
      </c>
      <c r="P353" s="266">
        <v>1100</v>
      </c>
      <c r="Q353" s="266">
        <v>10</v>
      </c>
      <c r="R353" s="266">
        <v>0.1</v>
      </c>
      <c r="S353" s="266">
        <v>250</v>
      </c>
      <c r="T353" s="266">
        <v>12</v>
      </c>
    </row>
    <row r="354" spans="2:20">
      <c r="B354" s="405" t="s">
        <v>226</v>
      </c>
      <c r="C354" s="405"/>
      <c r="D354" s="405"/>
      <c r="E354" s="405"/>
      <c r="F354" s="174">
        <f>F352/F353</f>
        <v>0.26451948051948049</v>
      </c>
      <c r="G354" s="174">
        <f t="shared" ref="G354:T354" si="74">G352/G353</f>
        <v>0.29708860759493672</v>
      </c>
      <c r="H354" s="174">
        <f t="shared" si="74"/>
        <v>0.2301910447761194</v>
      </c>
      <c r="I354" s="174">
        <f t="shared" si="74"/>
        <v>0.25063574468085104</v>
      </c>
      <c r="J354" s="174">
        <f t="shared" si="74"/>
        <v>0.23449999999999999</v>
      </c>
      <c r="K354" s="174">
        <f t="shared" si="74"/>
        <v>0.27271428571428574</v>
      </c>
      <c r="L354" s="174">
        <f t="shared" si="74"/>
        <v>0.59219999999999995</v>
      </c>
      <c r="M354" s="174">
        <f t="shared" si="74"/>
        <v>0.19265714285714292</v>
      </c>
      <c r="N354" s="174">
        <f t="shared" si="74"/>
        <v>0.19270000000000001</v>
      </c>
      <c r="O354" s="174">
        <f t="shared" si="74"/>
        <v>0.22587636363636365</v>
      </c>
      <c r="P354" s="174">
        <f t="shared" si="74"/>
        <v>0.34554909090909092</v>
      </c>
      <c r="Q354" s="174">
        <f t="shared" si="74"/>
        <v>0.16682</v>
      </c>
      <c r="R354" s="174">
        <f t="shared" si="74"/>
        <v>0.35599999999999998</v>
      </c>
      <c r="S354" s="174">
        <f t="shared" si="74"/>
        <v>0.298072</v>
      </c>
      <c r="T354" s="174">
        <f t="shared" si="74"/>
        <v>0.3798333333333333</v>
      </c>
    </row>
    <row r="355" spans="2:20">
      <c r="B355" s="405" t="s">
        <v>296</v>
      </c>
      <c r="C355" s="405"/>
      <c r="D355" s="405"/>
      <c r="E355" s="405"/>
      <c r="F355" s="190">
        <f t="shared" ref="F355:T355" si="75">(F332+F307+F271+F238+F206)/5</f>
        <v>10.628207792207792</v>
      </c>
      <c r="G355" s="190">
        <f t="shared" si="75"/>
        <v>7.6907594936708845</v>
      </c>
      <c r="H355" s="190">
        <f t="shared" si="75"/>
        <v>43.115146268656716</v>
      </c>
      <c r="I355" s="190">
        <f t="shared" si="75"/>
        <v>281.04643148936168</v>
      </c>
      <c r="J355" s="190">
        <f t="shared" si="75"/>
        <v>0.20200000000000001</v>
      </c>
      <c r="K355" s="190">
        <f t="shared" si="75"/>
        <v>0.14942857142857144</v>
      </c>
      <c r="L355" s="190">
        <f t="shared" si="75"/>
        <v>6.1743333333333341</v>
      </c>
      <c r="M355" s="190">
        <f t="shared" si="75"/>
        <v>0.1068657142857143</v>
      </c>
      <c r="N355" s="190">
        <f t="shared" si="75"/>
        <v>1.92452</v>
      </c>
      <c r="O355" s="190">
        <f t="shared" si="75"/>
        <v>38.618874545454545</v>
      </c>
      <c r="P355" s="190">
        <f t="shared" si="75"/>
        <v>134.55693636363637</v>
      </c>
      <c r="Q355" s="190">
        <f t="shared" si="75"/>
        <v>1.2256999999999998</v>
      </c>
      <c r="R355" s="190">
        <f t="shared" si="75"/>
        <v>1.9480000000000001E-2</v>
      </c>
      <c r="S355" s="190">
        <f t="shared" si="75"/>
        <v>41.925288000000009</v>
      </c>
      <c r="T355" s="190">
        <f t="shared" si="75"/>
        <v>2.9768333333333339</v>
      </c>
    </row>
    <row r="356" spans="2:20">
      <c r="B356" s="405" t="s">
        <v>242</v>
      </c>
      <c r="C356" s="405"/>
      <c r="D356" s="405"/>
      <c r="E356" s="405"/>
      <c r="F356" s="266">
        <v>77</v>
      </c>
      <c r="G356" s="266">
        <v>79</v>
      </c>
      <c r="H356" s="266">
        <v>335</v>
      </c>
      <c r="I356" s="266">
        <v>2350</v>
      </c>
      <c r="J356" s="266">
        <v>1.2</v>
      </c>
      <c r="K356" s="266">
        <v>1.4</v>
      </c>
      <c r="L356" s="266">
        <v>60</v>
      </c>
      <c r="M356" s="266">
        <v>0.7</v>
      </c>
      <c r="N356" s="266">
        <v>10</v>
      </c>
      <c r="O356" s="266">
        <v>1100</v>
      </c>
      <c r="P356" s="266">
        <v>1100</v>
      </c>
      <c r="Q356" s="266">
        <v>10</v>
      </c>
      <c r="R356" s="266">
        <v>0.1</v>
      </c>
      <c r="S356" s="266">
        <v>250</v>
      </c>
      <c r="T356" s="266">
        <v>12</v>
      </c>
    </row>
    <row r="357" spans="2:20">
      <c r="B357" s="405" t="s">
        <v>226</v>
      </c>
      <c r="C357" s="405"/>
      <c r="D357" s="405"/>
      <c r="E357" s="405"/>
      <c r="F357" s="174">
        <f>F355/F356</f>
        <v>0.13802867262607524</v>
      </c>
      <c r="G357" s="174">
        <f t="shared" ref="G357:T357" si="76">G355/G356</f>
        <v>9.7351385995833983E-2</v>
      </c>
      <c r="H357" s="174">
        <f t="shared" si="76"/>
        <v>0.12870192916016929</v>
      </c>
      <c r="I357" s="174">
        <f t="shared" si="76"/>
        <v>0.11959422616568582</v>
      </c>
      <c r="J357" s="174">
        <f t="shared" si="76"/>
        <v>0.16833333333333336</v>
      </c>
      <c r="K357" s="174">
        <f t="shared" si="76"/>
        <v>0.10673469387755104</v>
      </c>
      <c r="L357" s="174">
        <f t="shared" si="76"/>
        <v>0.10290555555555557</v>
      </c>
      <c r="M357" s="174">
        <f t="shared" si="76"/>
        <v>0.152665306122449</v>
      </c>
      <c r="N357" s="174">
        <f t="shared" si="76"/>
        <v>0.19245200000000001</v>
      </c>
      <c r="O357" s="174">
        <f t="shared" si="76"/>
        <v>3.5108067768595042E-2</v>
      </c>
      <c r="P357" s="174">
        <f t="shared" si="76"/>
        <v>0.12232448760330579</v>
      </c>
      <c r="Q357" s="174">
        <f t="shared" si="76"/>
        <v>0.12256999999999998</v>
      </c>
      <c r="R357" s="174">
        <f t="shared" si="76"/>
        <v>0.1948</v>
      </c>
      <c r="S357" s="174">
        <f t="shared" si="76"/>
        <v>0.16770115200000005</v>
      </c>
      <c r="T357" s="174">
        <f t="shared" si="76"/>
        <v>0.24806944444444448</v>
      </c>
    </row>
    <row r="358" spans="2:20">
      <c r="B358" s="405" t="s">
        <v>297</v>
      </c>
      <c r="C358" s="405"/>
      <c r="D358" s="405"/>
      <c r="E358" s="405"/>
      <c r="F358" s="190">
        <f t="shared" ref="F358:T358" si="77">(F210+F244+F277+F312+F347)/5</f>
        <v>17.058</v>
      </c>
      <c r="G358" s="190">
        <f t="shared" si="77"/>
        <v>16.066000000000003</v>
      </c>
      <c r="H358" s="190">
        <f t="shared" si="77"/>
        <v>93.310000000000016</v>
      </c>
      <c r="I358" s="190">
        <f t="shared" si="77"/>
        <v>583.77800000000002</v>
      </c>
      <c r="J358" s="190">
        <f t="shared" si="77"/>
        <v>0.2</v>
      </c>
      <c r="K358" s="190">
        <f t="shared" si="77"/>
        <v>0.21659999999999999</v>
      </c>
      <c r="L358" s="190">
        <f t="shared" si="77"/>
        <v>6.7200000000000006</v>
      </c>
      <c r="M358" s="190">
        <f t="shared" si="77"/>
        <v>0.18002000000000001</v>
      </c>
      <c r="N358" s="190">
        <f t="shared" si="77"/>
        <v>1.1990000000000001</v>
      </c>
      <c r="O358" s="190">
        <f t="shared" si="77"/>
        <v>90.34</v>
      </c>
      <c r="P358" s="190">
        <f t="shared" si="77"/>
        <v>201.42999999999998</v>
      </c>
      <c r="Q358" s="190">
        <f t="shared" si="77"/>
        <v>0.69259999999999988</v>
      </c>
      <c r="R358" s="190">
        <f t="shared" si="77"/>
        <v>4.5999999999999999E-3</v>
      </c>
      <c r="S358" s="190">
        <f t="shared" si="77"/>
        <v>48.878</v>
      </c>
      <c r="T358" s="190">
        <f t="shared" si="77"/>
        <v>3.7320000000000002</v>
      </c>
    </row>
    <row r="359" spans="2:20">
      <c r="B359" s="405" t="s">
        <v>242</v>
      </c>
      <c r="C359" s="405"/>
      <c r="D359" s="405"/>
      <c r="E359" s="405"/>
      <c r="F359" s="266">
        <v>77</v>
      </c>
      <c r="G359" s="266">
        <v>79</v>
      </c>
      <c r="H359" s="266">
        <v>335</v>
      </c>
      <c r="I359" s="266">
        <v>2350</v>
      </c>
      <c r="J359" s="266">
        <v>1.2</v>
      </c>
      <c r="K359" s="266">
        <v>1.4</v>
      </c>
      <c r="L359" s="266">
        <v>60</v>
      </c>
      <c r="M359" s="266">
        <v>0.7</v>
      </c>
      <c r="N359" s="266">
        <v>10</v>
      </c>
      <c r="O359" s="266">
        <v>1100</v>
      </c>
      <c r="P359" s="266">
        <v>1100</v>
      </c>
      <c r="Q359" s="266">
        <v>10</v>
      </c>
      <c r="R359" s="266">
        <v>0.1</v>
      </c>
      <c r="S359" s="266">
        <v>250</v>
      </c>
      <c r="T359" s="266">
        <v>12</v>
      </c>
    </row>
    <row r="360" spans="2:20">
      <c r="B360" s="405" t="s">
        <v>226</v>
      </c>
      <c r="C360" s="405"/>
      <c r="D360" s="405"/>
      <c r="E360" s="405"/>
      <c r="F360" s="174">
        <f>F358/F359</f>
        <v>0.22153246753246753</v>
      </c>
      <c r="G360" s="174">
        <f t="shared" ref="G360:T360" si="78">G358/G359</f>
        <v>0.20336708860759498</v>
      </c>
      <c r="H360" s="174">
        <f t="shared" si="78"/>
        <v>0.27853731343283589</v>
      </c>
      <c r="I360" s="174">
        <f t="shared" si="78"/>
        <v>0.24841617021276596</v>
      </c>
      <c r="J360" s="174">
        <f t="shared" si="78"/>
        <v>0.16666666666666669</v>
      </c>
      <c r="K360" s="174">
        <f t="shared" si="78"/>
        <v>0.15471428571428572</v>
      </c>
      <c r="L360" s="174">
        <f t="shared" si="78"/>
        <v>0.11200000000000002</v>
      </c>
      <c r="M360" s="174">
        <f t="shared" si="78"/>
        <v>0.25717142857142861</v>
      </c>
      <c r="N360" s="174">
        <f t="shared" si="78"/>
        <v>0.11990000000000001</v>
      </c>
      <c r="O360" s="174">
        <f t="shared" si="78"/>
        <v>8.2127272727272729E-2</v>
      </c>
      <c r="P360" s="174">
        <f t="shared" si="78"/>
        <v>0.18311818181818179</v>
      </c>
      <c r="Q360" s="174">
        <f t="shared" si="78"/>
        <v>6.9259999999999988E-2</v>
      </c>
      <c r="R360" s="174">
        <f t="shared" si="78"/>
        <v>4.5999999999999999E-2</v>
      </c>
      <c r="S360" s="174">
        <f t="shared" si="78"/>
        <v>0.19551199999999999</v>
      </c>
      <c r="T360" s="174">
        <f t="shared" si="78"/>
        <v>0.311</v>
      </c>
    </row>
    <row r="361" spans="2:20">
      <c r="B361" s="405" t="s">
        <v>328</v>
      </c>
      <c r="C361" s="405"/>
      <c r="D361" s="405"/>
      <c r="E361" s="405"/>
      <c r="F361" s="190">
        <f>F352+F355+F358</f>
        <v>48.054207792207791</v>
      </c>
      <c r="G361" s="190">
        <f t="shared" ref="G361:T361" si="79">G352+G355+G358</f>
        <v>47.226759493670883</v>
      </c>
      <c r="H361" s="190">
        <f t="shared" si="79"/>
        <v>213.53914626865674</v>
      </c>
      <c r="I361" s="190">
        <f t="shared" si="79"/>
        <v>1453.8184314893615</v>
      </c>
      <c r="J361" s="190">
        <f t="shared" si="79"/>
        <v>0.68340000000000001</v>
      </c>
      <c r="K361" s="190">
        <f t="shared" si="79"/>
        <v>0.74782857142857151</v>
      </c>
      <c r="L361" s="190">
        <f t="shared" si="79"/>
        <v>48.426333333333332</v>
      </c>
      <c r="M361" s="190">
        <f t="shared" si="79"/>
        <v>0.42174571428571433</v>
      </c>
      <c r="N361" s="190">
        <f t="shared" si="79"/>
        <v>5.0505199999999997</v>
      </c>
      <c r="O361" s="190">
        <f t="shared" si="79"/>
        <v>377.42287454545453</v>
      </c>
      <c r="P361" s="190">
        <f t="shared" si="79"/>
        <v>716.09093636363627</v>
      </c>
      <c r="Q361" s="190">
        <f t="shared" si="79"/>
        <v>3.5864999999999991</v>
      </c>
      <c r="R361" s="190">
        <f t="shared" si="79"/>
        <v>5.9680000000000004E-2</v>
      </c>
      <c r="S361" s="190">
        <f t="shared" si="79"/>
        <v>165.32128800000001</v>
      </c>
      <c r="T361" s="190">
        <f t="shared" si="79"/>
        <v>11.266833333333334</v>
      </c>
    </row>
    <row r="362" spans="2:20">
      <c r="B362" s="405" t="s">
        <v>242</v>
      </c>
      <c r="C362" s="405"/>
      <c r="D362" s="405"/>
      <c r="E362" s="405"/>
      <c r="F362" s="266">
        <v>77</v>
      </c>
      <c r="G362" s="266">
        <v>79</v>
      </c>
      <c r="H362" s="266">
        <v>335</v>
      </c>
      <c r="I362" s="266">
        <v>2350</v>
      </c>
      <c r="J362" s="266">
        <v>1.2</v>
      </c>
      <c r="K362" s="266">
        <v>1.4</v>
      </c>
      <c r="L362" s="266">
        <v>60</v>
      </c>
      <c r="M362" s="266">
        <v>0.7</v>
      </c>
      <c r="N362" s="266">
        <v>10</v>
      </c>
      <c r="O362" s="266">
        <v>1100</v>
      </c>
      <c r="P362" s="266">
        <v>1100</v>
      </c>
      <c r="Q362" s="266">
        <v>10</v>
      </c>
      <c r="R362" s="266">
        <v>0.1</v>
      </c>
      <c r="S362" s="266">
        <v>250</v>
      </c>
      <c r="T362" s="266">
        <v>12</v>
      </c>
    </row>
    <row r="363" spans="2:20">
      <c r="B363" s="405" t="s">
        <v>226</v>
      </c>
      <c r="C363" s="405"/>
      <c r="D363" s="405"/>
      <c r="E363" s="405"/>
      <c r="F363" s="174">
        <f>F361/F362</f>
        <v>0.62408062067802328</v>
      </c>
      <c r="G363" s="174">
        <f t="shared" ref="G363:O363" si="80">G361/G362</f>
        <v>0.59780708219836565</v>
      </c>
      <c r="H363" s="174">
        <f t="shared" si="80"/>
        <v>0.63743028736912455</v>
      </c>
      <c r="I363" s="174">
        <f t="shared" si="80"/>
        <v>0.61864614105930271</v>
      </c>
      <c r="J363" s="174">
        <f t="shared" si="80"/>
        <v>0.56950000000000001</v>
      </c>
      <c r="K363" s="174">
        <f t="shared" si="80"/>
        <v>0.53416326530612257</v>
      </c>
      <c r="L363" s="174">
        <f t="shared" si="80"/>
        <v>0.80710555555555552</v>
      </c>
      <c r="M363" s="174">
        <f t="shared" si="80"/>
        <v>0.60249387755102046</v>
      </c>
      <c r="N363" s="174">
        <f t="shared" si="80"/>
        <v>0.50505199999999995</v>
      </c>
      <c r="O363" s="174">
        <f t="shared" si="80"/>
        <v>0.34311170413223141</v>
      </c>
      <c r="P363" s="174">
        <f>P361/P362</f>
        <v>0.65099176033057848</v>
      </c>
      <c r="Q363" s="174">
        <f t="shared" ref="Q363:T363" si="81">Q361/Q362</f>
        <v>0.35864999999999991</v>
      </c>
      <c r="R363" s="174">
        <f t="shared" si="81"/>
        <v>0.5968</v>
      </c>
      <c r="S363" s="174">
        <f t="shared" si="81"/>
        <v>0.66128515200000004</v>
      </c>
      <c r="T363" s="174">
        <f t="shared" si="81"/>
        <v>0.93890277777777786</v>
      </c>
    </row>
  </sheetData>
  <mergeCells count="437">
    <mergeCell ref="B255:T255"/>
    <mergeCell ref="C256:D256"/>
    <mergeCell ref="C257:D257"/>
    <mergeCell ref="C258:D258"/>
    <mergeCell ref="C259:D259"/>
    <mergeCell ref="C252:D253"/>
    <mergeCell ref="E252:E253"/>
    <mergeCell ref="F252:H252"/>
    <mergeCell ref="J252:N252"/>
    <mergeCell ref="O252:T252"/>
    <mergeCell ref="C254:D254"/>
    <mergeCell ref="B260:D260"/>
    <mergeCell ref="B261:E261"/>
    <mergeCell ref="B262:T262"/>
    <mergeCell ref="C263:D263"/>
    <mergeCell ref="C264:D264"/>
    <mergeCell ref="B270:D270"/>
    <mergeCell ref="B271:E271"/>
    <mergeCell ref="B272:T272"/>
    <mergeCell ref="C265:D265"/>
    <mergeCell ref="C266:D266"/>
    <mergeCell ref="C267:D267"/>
    <mergeCell ref="B360:E360"/>
    <mergeCell ref="B361:E361"/>
    <mergeCell ref="B362:E362"/>
    <mergeCell ref="B363:E363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D342"/>
    <mergeCell ref="B343:E343"/>
    <mergeCell ref="B344:T344"/>
    <mergeCell ref="C345:D345"/>
    <mergeCell ref="C346:D346"/>
    <mergeCell ref="B347:D347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B333:E333"/>
    <mergeCell ref="B334:T334"/>
    <mergeCell ref="C335:D335"/>
    <mergeCell ref="B324:T324"/>
    <mergeCell ref="C325:D325"/>
    <mergeCell ref="C326:D326"/>
    <mergeCell ref="C327:D327"/>
    <mergeCell ref="C328:D328"/>
    <mergeCell ref="C329:D329"/>
    <mergeCell ref="C321:D322"/>
    <mergeCell ref="E321:E322"/>
    <mergeCell ref="F321:H321"/>
    <mergeCell ref="J321:N321"/>
    <mergeCell ref="O321:T321"/>
    <mergeCell ref="C323:D323"/>
    <mergeCell ref="B319:C319"/>
    <mergeCell ref="G319:I319"/>
    <mergeCell ref="L319:M319"/>
    <mergeCell ref="N319:Q319"/>
    <mergeCell ref="E320:F320"/>
    <mergeCell ref="L320:M320"/>
    <mergeCell ref="N320:T320"/>
    <mergeCell ref="B313:E313"/>
    <mergeCell ref="B314:E314"/>
    <mergeCell ref="B315:E315"/>
    <mergeCell ref="B316:E316"/>
    <mergeCell ref="M317:T317"/>
    <mergeCell ref="B318:T318"/>
    <mergeCell ref="B307:D307"/>
    <mergeCell ref="B308:E308"/>
    <mergeCell ref="B309:T309"/>
    <mergeCell ref="C310:D310"/>
    <mergeCell ref="C311:D311"/>
    <mergeCell ref="B312:D312"/>
    <mergeCell ref="C301:D301"/>
    <mergeCell ref="C302:D302"/>
    <mergeCell ref="C303:D303"/>
    <mergeCell ref="C304:D304"/>
    <mergeCell ref="C305:D305"/>
    <mergeCell ref="C306:D306"/>
    <mergeCell ref="C294:D294"/>
    <mergeCell ref="C295:D295"/>
    <mergeCell ref="C296:D296"/>
    <mergeCell ref="B298:E298"/>
    <mergeCell ref="B299:T299"/>
    <mergeCell ref="C300:D300"/>
    <mergeCell ref="C288:D288"/>
    <mergeCell ref="B289:T289"/>
    <mergeCell ref="C290:D290"/>
    <mergeCell ref="C291:D291"/>
    <mergeCell ref="C292:D292"/>
    <mergeCell ref="C293:D293"/>
    <mergeCell ref="B297:D297"/>
    <mergeCell ref="E285:F285"/>
    <mergeCell ref="L285:M285"/>
    <mergeCell ref="N285:T285"/>
    <mergeCell ref="C286:D287"/>
    <mergeCell ref="E286:E287"/>
    <mergeCell ref="F286:H286"/>
    <mergeCell ref="J286:N286"/>
    <mergeCell ref="O286:T286"/>
    <mergeCell ref="B281:I281"/>
    <mergeCell ref="M281:T281"/>
    <mergeCell ref="B283:T283"/>
    <mergeCell ref="B284:C284"/>
    <mergeCell ref="G284:I284"/>
    <mergeCell ref="L284:M284"/>
    <mergeCell ref="N284:Q284"/>
    <mergeCell ref="B278:E278"/>
    <mergeCell ref="B279:E279"/>
    <mergeCell ref="B280:E280"/>
    <mergeCell ref="C268:D268"/>
    <mergeCell ref="C269:D269"/>
    <mergeCell ref="C274:D274"/>
    <mergeCell ref="B277:E277"/>
    <mergeCell ref="C273:D273"/>
    <mergeCell ref="B275:D275"/>
    <mergeCell ref="B276:E276"/>
    <mergeCell ref="B250:C250"/>
    <mergeCell ref="G250:I250"/>
    <mergeCell ref="L250:M250"/>
    <mergeCell ref="N250:Q250"/>
    <mergeCell ref="E251:F251"/>
    <mergeCell ref="L251:M251"/>
    <mergeCell ref="N251:T251"/>
    <mergeCell ref="B245:E245"/>
    <mergeCell ref="B246:E246"/>
    <mergeCell ref="B247:E247"/>
    <mergeCell ref="B248:E248"/>
    <mergeCell ref="B249:T249"/>
    <mergeCell ref="B240:E240"/>
    <mergeCell ref="B241:T241"/>
    <mergeCell ref="C242:D242"/>
    <mergeCell ref="C243:D243"/>
    <mergeCell ref="B244:D244"/>
    <mergeCell ref="C228:D228"/>
    <mergeCell ref="B229:D229"/>
    <mergeCell ref="B230:E230"/>
    <mergeCell ref="B231:T231"/>
    <mergeCell ref="C238:D238"/>
    <mergeCell ref="B239:D239"/>
    <mergeCell ref="C232:D232"/>
    <mergeCell ref="C233:D233"/>
    <mergeCell ref="C234:D234"/>
    <mergeCell ref="C235:D235"/>
    <mergeCell ref="C236:D236"/>
    <mergeCell ref="C237:D237"/>
    <mergeCell ref="C227:D227"/>
    <mergeCell ref="B213:E213"/>
    <mergeCell ref="B214:E214"/>
    <mergeCell ref="B217:C217"/>
    <mergeCell ref="G217:I217"/>
    <mergeCell ref="L217:M217"/>
    <mergeCell ref="N217:Q217"/>
    <mergeCell ref="B212:D212"/>
    <mergeCell ref="B215:E215"/>
    <mergeCell ref="B216:E216"/>
    <mergeCell ref="C221:D221"/>
    <mergeCell ref="B222:T222"/>
    <mergeCell ref="C223:D223"/>
    <mergeCell ref="C224:D224"/>
    <mergeCell ref="C225:D225"/>
    <mergeCell ref="C226:D226"/>
    <mergeCell ref="E218:F218"/>
    <mergeCell ref="L218:M218"/>
    <mergeCell ref="N218:T218"/>
    <mergeCell ref="C219:D220"/>
    <mergeCell ref="E219:E220"/>
    <mergeCell ref="F219:H219"/>
    <mergeCell ref="J219:N219"/>
    <mergeCell ref="O219:T219"/>
    <mergeCell ref="C210:D210"/>
    <mergeCell ref="C211:D211"/>
    <mergeCell ref="B196:D196"/>
    <mergeCell ref="C199:D199"/>
    <mergeCell ref="C200:D200"/>
    <mergeCell ref="B190:T190"/>
    <mergeCell ref="C191:D191"/>
    <mergeCell ref="C192:D192"/>
    <mergeCell ref="C193:D193"/>
    <mergeCell ref="C194:D194"/>
    <mergeCell ref="C195:D195"/>
    <mergeCell ref="B197:E197"/>
    <mergeCell ref="B198:T198"/>
    <mergeCell ref="C201:D201"/>
    <mergeCell ref="C202:D202"/>
    <mergeCell ref="C203:D203"/>
    <mergeCell ref="C204:D204"/>
    <mergeCell ref="C205:D205"/>
    <mergeCell ref="C206:D206"/>
    <mergeCell ref="B207:D207"/>
    <mergeCell ref="B208:E208"/>
    <mergeCell ref="B209:T209"/>
    <mergeCell ref="C187:D188"/>
    <mergeCell ref="E187:E188"/>
    <mergeCell ref="F187:H187"/>
    <mergeCell ref="J187:N187"/>
    <mergeCell ref="O187:T187"/>
    <mergeCell ref="C189:D189"/>
    <mergeCell ref="B185:C185"/>
    <mergeCell ref="G185:I185"/>
    <mergeCell ref="L185:M185"/>
    <mergeCell ref="N185:Q185"/>
    <mergeCell ref="E186:F186"/>
    <mergeCell ref="L186:M186"/>
    <mergeCell ref="N186:T186"/>
    <mergeCell ref="B179:E179"/>
    <mergeCell ref="B180:E180"/>
    <mergeCell ref="B181:E181"/>
    <mergeCell ref="B182:E182"/>
    <mergeCell ref="M183:T183"/>
    <mergeCell ref="B184:T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D161"/>
    <mergeCell ref="B162:E162"/>
    <mergeCell ref="B163:T163"/>
    <mergeCell ref="C164:D164"/>
    <mergeCell ref="C165:D165"/>
    <mergeCell ref="B166:D166"/>
    <mergeCell ref="C155:D155"/>
    <mergeCell ref="C156:D156"/>
    <mergeCell ref="C157:D157"/>
    <mergeCell ref="C158:D158"/>
    <mergeCell ref="C159:D159"/>
    <mergeCell ref="C160:D160"/>
    <mergeCell ref="C150:D150"/>
    <mergeCell ref="C151:D151"/>
    <mergeCell ref="B152:D152"/>
    <mergeCell ref="B153:T153"/>
    <mergeCell ref="C154:D154"/>
    <mergeCell ref="C144:D144"/>
    <mergeCell ref="B145:T145"/>
    <mergeCell ref="C146:D146"/>
    <mergeCell ref="C147:D147"/>
    <mergeCell ref="C148:D148"/>
    <mergeCell ref="C149:D149"/>
    <mergeCell ref="E141:F141"/>
    <mergeCell ref="L141:M141"/>
    <mergeCell ref="N141:T141"/>
    <mergeCell ref="C142:D143"/>
    <mergeCell ref="E142:E143"/>
    <mergeCell ref="F142:H142"/>
    <mergeCell ref="J142:N142"/>
    <mergeCell ref="O142:T142"/>
    <mergeCell ref="B136:E136"/>
    <mergeCell ref="B137:E137"/>
    <mergeCell ref="M138:T138"/>
    <mergeCell ref="B139:T139"/>
    <mergeCell ref="B140:C140"/>
    <mergeCell ref="G140:I140"/>
    <mergeCell ref="L140:M140"/>
    <mergeCell ref="N140:Q140"/>
    <mergeCell ref="B130:T130"/>
    <mergeCell ref="C131:D131"/>
    <mergeCell ref="C132:D132"/>
    <mergeCell ref="B134:E134"/>
    <mergeCell ref="B135:E135"/>
    <mergeCell ref="B133:D133"/>
    <mergeCell ref="C124:D124"/>
    <mergeCell ref="C125:D125"/>
    <mergeCell ref="C126:D126"/>
    <mergeCell ref="C127:D127"/>
    <mergeCell ref="B128:D128"/>
    <mergeCell ref="B129:E129"/>
    <mergeCell ref="C116:D116"/>
    <mergeCell ref="B120:T120"/>
    <mergeCell ref="C121:D121"/>
    <mergeCell ref="C122:D122"/>
    <mergeCell ref="C123:D123"/>
    <mergeCell ref="B118:D118"/>
    <mergeCell ref="B119:E119"/>
    <mergeCell ref="C110:D110"/>
    <mergeCell ref="B111:T111"/>
    <mergeCell ref="C112:D112"/>
    <mergeCell ref="C113:D113"/>
    <mergeCell ref="C114:D114"/>
    <mergeCell ref="C115:D115"/>
    <mergeCell ref="E107:F107"/>
    <mergeCell ref="L107:M107"/>
    <mergeCell ref="N107:T107"/>
    <mergeCell ref="C108:D109"/>
    <mergeCell ref="E108:E109"/>
    <mergeCell ref="F108:H108"/>
    <mergeCell ref="J108:N108"/>
    <mergeCell ref="O108:T108"/>
    <mergeCell ref="B101:E101"/>
    <mergeCell ref="B102:E102"/>
    <mergeCell ref="B103:E103"/>
    <mergeCell ref="M104:T104"/>
    <mergeCell ref="B105:T105"/>
    <mergeCell ref="B106:C106"/>
    <mergeCell ref="G106:I106"/>
    <mergeCell ref="L106:M106"/>
    <mergeCell ref="N106:Q106"/>
    <mergeCell ref="B94:D94"/>
    <mergeCell ref="B95:E95"/>
    <mergeCell ref="B96:T96"/>
    <mergeCell ref="C97:D97"/>
    <mergeCell ref="C98:D98"/>
    <mergeCell ref="B100:E100"/>
    <mergeCell ref="C88:D88"/>
    <mergeCell ref="C89:D89"/>
    <mergeCell ref="C90:D90"/>
    <mergeCell ref="C91:D91"/>
    <mergeCell ref="C92:D92"/>
    <mergeCell ref="C93:D93"/>
    <mergeCell ref="C82:D82"/>
    <mergeCell ref="C83:D83"/>
    <mergeCell ref="B84:D84"/>
    <mergeCell ref="B85:E85"/>
    <mergeCell ref="B86:T86"/>
    <mergeCell ref="C87:D87"/>
    <mergeCell ref="C76:D76"/>
    <mergeCell ref="B77:T77"/>
    <mergeCell ref="C78:D78"/>
    <mergeCell ref="C79:D79"/>
    <mergeCell ref="C80:D80"/>
    <mergeCell ref="C81:D81"/>
    <mergeCell ref="E73:F73"/>
    <mergeCell ref="L73:M73"/>
    <mergeCell ref="N73:T73"/>
    <mergeCell ref="C74:D75"/>
    <mergeCell ref="E74:E75"/>
    <mergeCell ref="F74:H74"/>
    <mergeCell ref="J74:N74"/>
    <mergeCell ref="O74:T74"/>
    <mergeCell ref="B67:E67"/>
    <mergeCell ref="B68:E68"/>
    <mergeCell ref="B71:T71"/>
    <mergeCell ref="B72:C72"/>
    <mergeCell ref="G72:I72"/>
    <mergeCell ref="L72:M72"/>
    <mergeCell ref="N72:Q72"/>
    <mergeCell ref="B61:T61"/>
    <mergeCell ref="C62:D62"/>
    <mergeCell ref="C63:D63"/>
    <mergeCell ref="B64:D64"/>
    <mergeCell ref="B65:E65"/>
    <mergeCell ref="B66:E66"/>
    <mergeCell ref="C54:D54"/>
    <mergeCell ref="C55:D55"/>
    <mergeCell ref="C56:D56"/>
    <mergeCell ref="C57:D57"/>
    <mergeCell ref="C48:D48"/>
    <mergeCell ref="B50:T50"/>
    <mergeCell ref="C51:D51"/>
    <mergeCell ref="C52:D52"/>
    <mergeCell ref="C53:D53"/>
    <mergeCell ref="B42:T42"/>
    <mergeCell ref="C43:D43"/>
    <mergeCell ref="C44:D44"/>
    <mergeCell ref="C45:D45"/>
    <mergeCell ref="C46:D46"/>
    <mergeCell ref="C47:D47"/>
    <mergeCell ref="C39:D40"/>
    <mergeCell ref="E39:E40"/>
    <mergeCell ref="F39:H39"/>
    <mergeCell ref="J39:N39"/>
    <mergeCell ref="O39:T39"/>
    <mergeCell ref="C41:D41"/>
    <mergeCell ref="B36:T36"/>
    <mergeCell ref="B37:C37"/>
    <mergeCell ref="G37:I37"/>
    <mergeCell ref="L37:M37"/>
    <mergeCell ref="N37:Q37"/>
    <mergeCell ref="E38:F38"/>
    <mergeCell ref="L38:M38"/>
    <mergeCell ref="N38:T38"/>
    <mergeCell ref="B35:E35"/>
    <mergeCell ref="J5:N5"/>
    <mergeCell ref="O5:T5"/>
    <mergeCell ref="C20:D20"/>
    <mergeCell ref="C21:D21"/>
    <mergeCell ref="C22:D22"/>
    <mergeCell ref="C23:D23"/>
    <mergeCell ref="C24:D24"/>
    <mergeCell ref="C25:D25"/>
    <mergeCell ref="C13:D13"/>
    <mergeCell ref="B17:T17"/>
    <mergeCell ref="C18:D18"/>
    <mergeCell ref="C19:D19"/>
    <mergeCell ref="B31:E31"/>
    <mergeCell ref="B32:E32"/>
    <mergeCell ref="B33:E33"/>
    <mergeCell ref="B34:E34"/>
    <mergeCell ref="B26:D26"/>
    <mergeCell ref="B27:T27"/>
    <mergeCell ref="C28:D28"/>
    <mergeCell ref="C29:D29"/>
    <mergeCell ref="B30:D30"/>
    <mergeCell ref="M1:T1"/>
    <mergeCell ref="B2:T2"/>
    <mergeCell ref="B3:C3"/>
    <mergeCell ref="G3:I3"/>
    <mergeCell ref="L3:M3"/>
    <mergeCell ref="N3:Q3"/>
    <mergeCell ref="B60:E60"/>
    <mergeCell ref="B69:E69"/>
    <mergeCell ref="C14:D14"/>
    <mergeCell ref="B16:E16"/>
    <mergeCell ref="C7:D7"/>
    <mergeCell ref="B8:T8"/>
    <mergeCell ref="C9:D9"/>
    <mergeCell ref="C10:D10"/>
    <mergeCell ref="C11:D11"/>
    <mergeCell ref="C12:D12"/>
    <mergeCell ref="B4:D4"/>
    <mergeCell ref="E4:F4"/>
    <mergeCell ref="L4:M4"/>
    <mergeCell ref="N4:T4"/>
    <mergeCell ref="B5:B6"/>
    <mergeCell ref="C5:D6"/>
    <mergeCell ref="E5:E6"/>
    <mergeCell ref="F5:H5"/>
  </mergeCells>
  <pageMargins left="0" right="0" top="0" bottom="0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62"/>
  <sheetViews>
    <sheetView topLeftCell="A205" workbookViewId="0">
      <selection activeCell="I354" sqref="I354"/>
    </sheetView>
  </sheetViews>
  <sheetFormatPr defaultRowHeight="15"/>
  <sheetData>
    <row r="1" spans="1:19">
      <c r="A1" s="239"/>
      <c r="B1" s="253"/>
      <c r="C1" s="253"/>
      <c r="D1" s="253"/>
      <c r="E1" s="240"/>
      <c r="F1" s="253"/>
      <c r="G1" s="253"/>
      <c r="H1" s="253"/>
      <c r="I1" s="253"/>
      <c r="J1" s="253"/>
      <c r="K1" s="253"/>
      <c r="L1" s="419" t="s">
        <v>187</v>
      </c>
      <c r="M1" s="419"/>
      <c r="N1" s="419"/>
      <c r="O1" s="419"/>
      <c r="P1" s="419"/>
      <c r="Q1" s="419"/>
      <c r="R1" s="419"/>
      <c r="S1" s="419"/>
    </row>
    <row r="2" spans="1:19">
      <c r="A2" s="416" t="s">
        <v>243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>
      <c r="A3" s="405" t="s">
        <v>189</v>
      </c>
      <c r="B3" s="405"/>
      <c r="C3" s="253"/>
      <c r="D3" s="253"/>
      <c r="E3" s="253"/>
      <c r="F3" s="445" t="s">
        <v>357</v>
      </c>
      <c r="G3" s="445"/>
      <c r="H3" s="445"/>
      <c r="I3" s="253"/>
      <c r="J3" s="253"/>
      <c r="K3" s="405" t="s">
        <v>191</v>
      </c>
      <c r="L3" s="405"/>
      <c r="M3" s="419" t="s">
        <v>192</v>
      </c>
      <c r="N3" s="419"/>
      <c r="O3" s="419"/>
      <c r="P3" s="419"/>
      <c r="Q3" s="253"/>
      <c r="R3" s="253"/>
      <c r="S3" s="253"/>
    </row>
    <row r="4" spans="1:19">
      <c r="A4" s="253"/>
      <c r="B4" s="253"/>
      <c r="C4" s="253"/>
      <c r="D4" s="416" t="s">
        <v>194</v>
      </c>
      <c r="E4" s="416"/>
      <c r="F4" s="253">
        <v>1</v>
      </c>
      <c r="G4" s="253"/>
      <c r="H4" s="253"/>
      <c r="I4" s="253"/>
      <c r="J4" s="253"/>
      <c r="K4" s="405" t="s">
        <v>195</v>
      </c>
      <c r="L4" s="405"/>
      <c r="M4" s="419" t="s">
        <v>347</v>
      </c>
      <c r="N4" s="419"/>
      <c r="O4" s="419"/>
      <c r="P4" s="419"/>
      <c r="Q4" s="419"/>
      <c r="R4" s="419"/>
      <c r="S4" s="419"/>
    </row>
    <row r="5" spans="1:19">
      <c r="A5" s="256" t="s">
        <v>0</v>
      </c>
      <c r="B5" s="444" t="s">
        <v>198</v>
      </c>
      <c r="C5" s="444"/>
      <c r="D5" s="444" t="s">
        <v>199</v>
      </c>
      <c r="E5" s="444" t="s">
        <v>200</v>
      </c>
      <c r="F5" s="444"/>
      <c r="G5" s="444"/>
      <c r="H5" s="256" t="s">
        <v>201</v>
      </c>
      <c r="I5" s="444" t="s">
        <v>202</v>
      </c>
      <c r="J5" s="444"/>
      <c r="K5" s="444"/>
      <c r="L5" s="444"/>
      <c r="M5" s="444"/>
      <c r="N5" s="444" t="s">
        <v>203</v>
      </c>
      <c r="O5" s="444"/>
      <c r="P5" s="444"/>
      <c r="Q5" s="444"/>
      <c r="R5" s="444"/>
      <c r="S5" s="444"/>
    </row>
    <row r="6" spans="1:19" ht="38.25">
      <c r="A6" s="256" t="s">
        <v>245</v>
      </c>
      <c r="B6" s="444"/>
      <c r="C6" s="444"/>
      <c r="D6" s="444"/>
      <c r="E6" s="256" t="s">
        <v>204</v>
      </c>
      <c r="F6" s="256" t="s">
        <v>205</v>
      </c>
      <c r="G6" s="256" t="s">
        <v>206</v>
      </c>
      <c r="H6" s="256" t="s">
        <v>207</v>
      </c>
      <c r="I6" s="256" t="s">
        <v>208</v>
      </c>
      <c r="J6" s="256" t="s">
        <v>209</v>
      </c>
      <c r="K6" s="256" t="s">
        <v>210</v>
      </c>
      <c r="L6" s="256" t="s">
        <v>211</v>
      </c>
      <c r="M6" s="256" t="s">
        <v>212</v>
      </c>
      <c r="N6" s="256" t="s">
        <v>213</v>
      </c>
      <c r="O6" s="256" t="s">
        <v>214</v>
      </c>
      <c r="P6" s="256" t="s">
        <v>215</v>
      </c>
      <c r="Q6" s="256" t="s">
        <v>216</v>
      </c>
      <c r="R6" s="256" t="s">
        <v>217</v>
      </c>
      <c r="S6" s="256" t="s">
        <v>218</v>
      </c>
    </row>
    <row r="7" spans="1:19">
      <c r="A7" s="254">
        <v>1</v>
      </c>
      <c r="B7" s="418">
        <v>2</v>
      </c>
      <c r="C7" s="418"/>
      <c r="D7" s="254">
        <v>3</v>
      </c>
      <c r="E7" s="254">
        <v>4</v>
      </c>
      <c r="F7" s="254">
        <v>5</v>
      </c>
      <c r="G7" s="254">
        <v>6</v>
      </c>
      <c r="H7" s="254">
        <v>7</v>
      </c>
      <c r="I7" s="254">
        <v>8</v>
      </c>
      <c r="J7" s="254">
        <v>9</v>
      </c>
      <c r="K7" s="254">
        <v>10</v>
      </c>
      <c r="L7" s="254">
        <v>11</v>
      </c>
      <c r="M7" s="254">
        <v>12</v>
      </c>
      <c r="N7" s="254">
        <v>13</v>
      </c>
      <c r="O7" s="254">
        <v>14</v>
      </c>
      <c r="P7" s="254">
        <v>15</v>
      </c>
      <c r="Q7" s="254">
        <v>16</v>
      </c>
      <c r="R7" s="254">
        <v>17</v>
      </c>
      <c r="S7" s="254">
        <v>18</v>
      </c>
    </row>
    <row r="8" spans="1:19">
      <c r="A8" s="416" t="s">
        <v>246</v>
      </c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ht="27" customHeight="1">
      <c r="A9" s="259">
        <v>338</v>
      </c>
      <c r="B9" s="446" t="s">
        <v>361</v>
      </c>
      <c r="C9" s="446"/>
      <c r="D9" s="310">
        <v>100</v>
      </c>
      <c r="E9" s="310">
        <v>0.4</v>
      </c>
      <c r="F9" s="310">
        <v>0.4</v>
      </c>
      <c r="G9" s="310">
        <v>9.8000000000000007</v>
      </c>
      <c r="H9" s="310">
        <v>42</v>
      </c>
      <c r="I9" s="310">
        <v>0.04</v>
      </c>
      <c r="J9" s="310">
        <v>0.02</v>
      </c>
      <c r="K9" s="310">
        <v>10</v>
      </c>
      <c r="L9" s="310">
        <v>0</v>
      </c>
      <c r="M9" s="310">
        <v>0.2</v>
      </c>
      <c r="N9" s="310">
        <v>16</v>
      </c>
      <c r="O9" s="310">
        <v>11</v>
      </c>
      <c r="P9" s="310">
        <v>0</v>
      </c>
      <c r="Q9" s="310">
        <v>0</v>
      </c>
      <c r="R9" s="310">
        <v>9</v>
      </c>
      <c r="S9" s="310">
        <v>2.2000000000000002</v>
      </c>
    </row>
    <row r="10" spans="1:19" ht="15" customHeight="1">
      <c r="A10" s="310">
        <v>15</v>
      </c>
      <c r="B10" s="406" t="s">
        <v>221</v>
      </c>
      <c r="C10" s="406"/>
      <c r="D10" s="310">
        <v>20</v>
      </c>
      <c r="E10" s="310">
        <v>4.6399999999999997</v>
      </c>
      <c r="F10" s="310">
        <v>6.8</v>
      </c>
      <c r="G10" s="310">
        <v>0.02</v>
      </c>
      <c r="H10" s="310">
        <v>79.8</v>
      </c>
      <c r="I10" s="310">
        <v>0.01</v>
      </c>
      <c r="J10" s="310">
        <v>0.06</v>
      </c>
      <c r="K10" s="310">
        <v>0.14000000000000001</v>
      </c>
      <c r="L10" s="310">
        <v>4.5999999999999999E-2</v>
      </c>
      <c r="M10" s="310">
        <v>0.1</v>
      </c>
      <c r="N10" s="310">
        <v>176</v>
      </c>
      <c r="O10" s="310">
        <v>100</v>
      </c>
      <c r="P10" s="310">
        <v>0.8</v>
      </c>
      <c r="Q10" s="310">
        <v>0.04</v>
      </c>
      <c r="R10" s="310">
        <v>7</v>
      </c>
      <c r="S10" s="310">
        <v>0.26</v>
      </c>
    </row>
    <row r="11" spans="1:19" ht="15" customHeight="1">
      <c r="A11" s="310">
        <v>173</v>
      </c>
      <c r="B11" s="406" t="s">
        <v>222</v>
      </c>
      <c r="C11" s="406"/>
      <c r="D11" s="310">
        <v>250</v>
      </c>
      <c r="E11" s="310">
        <v>9.0380000000000003</v>
      </c>
      <c r="F11" s="310">
        <v>12.263</v>
      </c>
      <c r="G11" s="310">
        <v>36</v>
      </c>
      <c r="H11" s="310">
        <v>290.51</v>
      </c>
      <c r="I11" s="310">
        <v>0.27500000000000002</v>
      </c>
      <c r="J11" s="310">
        <v>0.25</v>
      </c>
      <c r="K11" s="310">
        <v>1.625</v>
      </c>
      <c r="L11" s="310">
        <v>0.1</v>
      </c>
      <c r="M11" s="310">
        <v>0</v>
      </c>
      <c r="N11" s="310">
        <v>178.22499999999999</v>
      </c>
      <c r="O11" s="310">
        <v>277.97500000000002</v>
      </c>
      <c r="P11" s="310">
        <v>0</v>
      </c>
      <c r="Q11" s="310">
        <v>1E-3</v>
      </c>
      <c r="R11" s="310">
        <v>82.113</v>
      </c>
      <c r="S11" s="310">
        <v>1.913</v>
      </c>
    </row>
    <row r="12" spans="1:19" ht="15" customHeight="1">
      <c r="A12" s="310">
        <v>382</v>
      </c>
      <c r="B12" s="406" t="s">
        <v>223</v>
      </c>
      <c r="C12" s="406"/>
      <c r="D12" s="310">
        <v>200</v>
      </c>
      <c r="E12" s="310">
        <v>3.5</v>
      </c>
      <c r="F12" s="310">
        <v>3.7</v>
      </c>
      <c r="G12" s="310">
        <v>25.5</v>
      </c>
      <c r="H12" s="310">
        <v>149.30000000000001</v>
      </c>
      <c r="I12" s="310">
        <v>0.06</v>
      </c>
      <c r="J12" s="310">
        <v>0.01</v>
      </c>
      <c r="K12" s="310">
        <v>1.6</v>
      </c>
      <c r="L12" s="310">
        <v>0.04</v>
      </c>
      <c r="M12" s="310">
        <v>0.4</v>
      </c>
      <c r="N12" s="310">
        <v>102.6</v>
      </c>
      <c r="O12" s="310">
        <v>178.4</v>
      </c>
      <c r="P12" s="310">
        <v>1</v>
      </c>
      <c r="Q12" s="310">
        <v>1.2999999999999999E-2</v>
      </c>
      <c r="R12" s="310">
        <v>24.8</v>
      </c>
      <c r="S12" s="310">
        <v>1</v>
      </c>
    </row>
    <row r="13" spans="1:19" ht="15" customHeight="1">
      <c r="A13" s="310" t="s">
        <v>224</v>
      </c>
      <c r="B13" s="406" t="s">
        <v>161</v>
      </c>
      <c r="C13" s="406"/>
      <c r="D13" s="310">
        <v>40</v>
      </c>
      <c r="E13" s="310">
        <v>3.04</v>
      </c>
      <c r="F13" s="310">
        <v>0.32</v>
      </c>
      <c r="G13" s="310">
        <v>19.68</v>
      </c>
      <c r="H13" s="310">
        <v>88.8</v>
      </c>
      <c r="I13" s="310">
        <v>0.04</v>
      </c>
      <c r="J13" s="310">
        <v>0.01</v>
      </c>
      <c r="K13" s="310">
        <v>0.88</v>
      </c>
      <c r="L13" s="310">
        <v>0</v>
      </c>
      <c r="M13" s="310">
        <v>0.7</v>
      </c>
      <c r="N13" s="310">
        <v>8</v>
      </c>
      <c r="O13" s="310">
        <v>26</v>
      </c>
      <c r="P13" s="310">
        <v>8.0000000000000002E-3</v>
      </c>
      <c r="Q13" s="310">
        <v>3.0000000000000001E-3</v>
      </c>
      <c r="R13" s="310">
        <v>0</v>
      </c>
      <c r="S13" s="310">
        <v>0.44</v>
      </c>
    </row>
    <row r="14" spans="1:19" ht="15" customHeight="1">
      <c r="A14" s="413" t="s">
        <v>225</v>
      </c>
      <c r="B14" s="414"/>
      <c r="C14" s="415"/>
      <c r="D14" s="301">
        <f>SUM(D9:D13)</f>
        <v>610</v>
      </c>
      <c r="E14" s="301">
        <f t="shared" ref="E14:S14" si="0">SUM(E9:E13)</f>
        <v>20.617999999999999</v>
      </c>
      <c r="F14" s="301">
        <f t="shared" si="0"/>
        <v>23.483000000000001</v>
      </c>
      <c r="G14" s="301">
        <f t="shared" si="0"/>
        <v>91</v>
      </c>
      <c r="H14" s="301">
        <f t="shared" si="0"/>
        <v>650.41</v>
      </c>
      <c r="I14" s="301">
        <f t="shared" si="0"/>
        <v>0.42499999999999999</v>
      </c>
      <c r="J14" s="301">
        <f t="shared" si="0"/>
        <v>0.35000000000000003</v>
      </c>
      <c r="K14" s="301">
        <f t="shared" si="0"/>
        <v>14.245000000000001</v>
      </c>
      <c r="L14" s="301">
        <f t="shared" si="0"/>
        <v>0.18600000000000003</v>
      </c>
      <c r="M14" s="301">
        <f t="shared" si="0"/>
        <v>1.4</v>
      </c>
      <c r="N14" s="301">
        <f t="shared" si="0"/>
        <v>480.82500000000005</v>
      </c>
      <c r="O14" s="301">
        <f t="shared" si="0"/>
        <v>593.375</v>
      </c>
      <c r="P14" s="301">
        <f t="shared" si="0"/>
        <v>1.8080000000000001</v>
      </c>
      <c r="Q14" s="301">
        <f t="shared" si="0"/>
        <v>5.7000000000000002E-2</v>
      </c>
      <c r="R14" s="301">
        <f t="shared" si="0"/>
        <v>122.913</v>
      </c>
      <c r="S14" s="301">
        <f t="shared" si="0"/>
        <v>5.8130000000000006</v>
      </c>
    </row>
    <row r="15" spans="1:19">
      <c r="A15" s="405" t="s">
        <v>226</v>
      </c>
      <c r="B15" s="405"/>
      <c r="C15" s="405"/>
      <c r="D15" s="405"/>
      <c r="E15" s="174">
        <f t="shared" ref="E15:S15" ca="1" si="1">E14/E33</f>
        <v>0.22908888888888887</v>
      </c>
      <c r="F15" s="174">
        <f t="shared" ca="1" si="1"/>
        <v>0.25525000000000003</v>
      </c>
      <c r="G15" s="174">
        <f t="shared" ca="1" si="1"/>
        <v>0.23759791122715404</v>
      </c>
      <c r="H15" s="174">
        <f t="shared" ca="1" si="1"/>
        <v>0.23912132352941176</v>
      </c>
      <c r="I15" s="174">
        <f t="shared" ca="1" si="1"/>
        <v>0.3035714285714286</v>
      </c>
      <c r="J15" s="174">
        <f t="shared" ca="1" si="1"/>
        <v>0.21875</v>
      </c>
      <c r="K15" s="174">
        <f t="shared" ca="1" si="1"/>
        <v>0.20350000000000001</v>
      </c>
      <c r="L15" s="174">
        <f t="shared" ca="1" si="1"/>
        <v>0.20666666666666669</v>
      </c>
      <c r="M15" s="174">
        <f t="shared" ca="1" si="1"/>
        <v>0.11666666666666665</v>
      </c>
      <c r="N15" s="174">
        <f t="shared" ca="1" si="1"/>
        <v>0.40068750000000003</v>
      </c>
      <c r="O15" s="174">
        <f t="shared" ca="1" si="1"/>
        <v>0.49447916666666669</v>
      </c>
      <c r="P15" s="174">
        <f t="shared" ca="1" si="1"/>
        <v>0.12914285714285714</v>
      </c>
      <c r="Q15" s="174">
        <f t="shared" ca="1" si="1"/>
        <v>0.56999999999999995</v>
      </c>
      <c r="R15" s="174">
        <f t="shared" ca="1" si="1"/>
        <v>0.40970999999999996</v>
      </c>
      <c r="S15" s="174">
        <f t="shared" ca="1" si="1"/>
        <v>0.32294444444444448</v>
      </c>
    </row>
    <row r="16" spans="1:19">
      <c r="A16" s="405" t="s">
        <v>226</v>
      </c>
      <c r="B16" s="405"/>
      <c r="C16" s="405"/>
      <c r="D16" s="405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</row>
    <row r="17" spans="1:19">
      <c r="A17" s="416" t="s">
        <v>227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ht="15" customHeight="1">
      <c r="A18" s="310" t="s">
        <v>228</v>
      </c>
      <c r="B18" s="406" t="s">
        <v>229</v>
      </c>
      <c r="C18" s="406"/>
      <c r="D18" s="310">
        <v>100</v>
      </c>
      <c r="E18" s="310">
        <v>1.71</v>
      </c>
      <c r="F18" s="310">
        <v>5</v>
      </c>
      <c r="G18" s="310">
        <v>8.4600000000000009</v>
      </c>
      <c r="H18" s="310">
        <v>85.7</v>
      </c>
      <c r="I18" s="310">
        <v>0.02</v>
      </c>
      <c r="J18" s="310">
        <v>0.03</v>
      </c>
      <c r="K18" s="310">
        <v>19.809999999999999</v>
      </c>
      <c r="L18" s="310">
        <v>0.02</v>
      </c>
      <c r="M18" s="310"/>
      <c r="N18" s="310">
        <v>52.24</v>
      </c>
      <c r="O18" s="310">
        <v>33.950000000000003</v>
      </c>
      <c r="P18" s="310"/>
      <c r="Q18" s="310">
        <v>0</v>
      </c>
      <c r="R18" s="310">
        <v>16.010000000000002</v>
      </c>
      <c r="S18" s="310">
        <v>0.67</v>
      </c>
    </row>
    <row r="19" spans="1:19" ht="21.75" customHeight="1">
      <c r="A19" s="310">
        <v>45</v>
      </c>
      <c r="B19" s="406" t="s">
        <v>230</v>
      </c>
      <c r="C19" s="406"/>
      <c r="D19" s="310">
        <v>100</v>
      </c>
      <c r="E19" s="310">
        <v>1.5</v>
      </c>
      <c r="F19" s="310">
        <v>2.1829999999999998</v>
      </c>
      <c r="G19" s="310">
        <v>9.33</v>
      </c>
      <c r="H19" s="310">
        <v>62.982999999999997</v>
      </c>
      <c r="I19" s="310">
        <v>0.1</v>
      </c>
      <c r="J19" s="310">
        <v>0.11700000000000001</v>
      </c>
      <c r="K19" s="310">
        <v>25.832999999999998</v>
      </c>
      <c r="L19" s="310">
        <v>0.11799999999999999</v>
      </c>
      <c r="M19" s="310">
        <v>0.5</v>
      </c>
      <c r="N19" s="310">
        <v>47</v>
      </c>
      <c r="O19" s="310">
        <v>31.5</v>
      </c>
      <c r="P19" s="310">
        <v>0.33</v>
      </c>
      <c r="Q19" s="310">
        <v>2E-3</v>
      </c>
      <c r="R19" s="310">
        <v>17.5</v>
      </c>
      <c r="S19" s="310">
        <v>1</v>
      </c>
    </row>
    <row r="20" spans="1:19" ht="25.5" customHeight="1">
      <c r="A20" s="310">
        <v>102</v>
      </c>
      <c r="B20" s="406" t="s">
        <v>231</v>
      </c>
      <c r="C20" s="406"/>
      <c r="D20" s="310" t="s">
        <v>348</v>
      </c>
      <c r="E20" s="310">
        <v>5.49</v>
      </c>
      <c r="F20" s="310">
        <v>5.28</v>
      </c>
      <c r="G20" s="310">
        <v>16.329999999999998</v>
      </c>
      <c r="H20" s="310">
        <v>134.75</v>
      </c>
      <c r="I20" s="310">
        <v>0.23</v>
      </c>
      <c r="J20" s="310"/>
      <c r="K20" s="310"/>
      <c r="L20" s="310"/>
      <c r="M20" s="310"/>
      <c r="N20" s="310">
        <v>38.08</v>
      </c>
      <c r="O20" s="310"/>
      <c r="P20" s="310"/>
      <c r="Q20" s="310"/>
      <c r="R20" s="310">
        <v>35.299999999999997</v>
      </c>
      <c r="S20" s="310">
        <v>2.0299999999999998</v>
      </c>
    </row>
    <row r="21" spans="1:19" ht="15" customHeight="1">
      <c r="A21" s="310">
        <v>260</v>
      </c>
      <c r="B21" s="406" t="s">
        <v>232</v>
      </c>
      <c r="C21" s="406"/>
      <c r="D21" s="310">
        <v>100</v>
      </c>
      <c r="E21" s="310">
        <v>12.55</v>
      </c>
      <c r="F21" s="310">
        <v>12.99</v>
      </c>
      <c r="G21" s="310">
        <v>4.01</v>
      </c>
      <c r="H21" s="310">
        <v>182.25</v>
      </c>
      <c r="I21" s="310">
        <v>7.0000000000000007E-2</v>
      </c>
      <c r="J21" s="310">
        <v>0.11</v>
      </c>
      <c r="K21" s="310">
        <v>5.07</v>
      </c>
      <c r="L21" s="310">
        <v>1.49</v>
      </c>
      <c r="M21" s="310">
        <v>2.25</v>
      </c>
      <c r="N21" s="310">
        <v>30.52</v>
      </c>
      <c r="O21" s="310">
        <v>119.19</v>
      </c>
      <c r="P21" s="310"/>
      <c r="Q21" s="310"/>
      <c r="R21" s="310">
        <v>24.03</v>
      </c>
      <c r="S21" s="310">
        <v>2.1</v>
      </c>
    </row>
    <row r="22" spans="1:19" ht="15" customHeight="1">
      <c r="A22" s="310">
        <v>203</v>
      </c>
      <c r="B22" s="406" t="s">
        <v>233</v>
      </c>
      <c r="C22" s="406"/>
      <c r="D22" s="310">
        <v>180</v>
      </c>
      <c r="E22" s="310">
        <v>6.84</v>
      </c>
      <c r="F22" s="310">
        <v>4.1159999999999997</v>
      </c>
      <c r="G22" s="310">
        <v>43.74</v>
      </c>
      <c r="H22" s="310">
        <v>239.364</v>
      </c>
      <c r="I22" s="310">
        <v>0.108</v>
      </c>
      <c r="J22" s="310">
        <v>3.5999999999999997E-2</v>
      </c>
      <c r="K22" s="310">
        <v>0</v>
      </c>
      <c r="L22" s="310">
        <v>3.5999999999999997E-2</v>
      </c>
      <c r="M22" s="310">
        <v>1.5</v>
      </c>
      <c r="N22" s="310">
        <v>15.94</v>
      </c>
      <c r="O22" s="310">
        <v>55.45</v>
      </c>
      <c r="P22" s="310">
        <v>0.94</v>
      </c>
      <c r="Q22" s="310">
        <v>2E-3</v>
      </c>
      <c r="R22" s="310">
        <v>10.16</v>
      </c>
      <c r="S22" s="310">
        <v>1.03</v>
      </c>
    </row>
    <row r="23" spans="1:19" ht="15" customHeight="1">
      <c r="A23" s="310">
        <v>377</v>
      </c>
      <c r="B23" s="410" t="s">
        <v>149</v>
      </c>
      <c r="C23" s="411"/>
      <c r="D23" s="310" t="s">
        <v>234</v>
      </c>
      <c r="E23" s="310">
        <v>0.26</v>
      </c>
      <c r="F23" s="310">
        <v>0.06</v>
      </c>
      <c r="G23" s="310">
        <v>15.22</v>
      </c>
      <c r="H23" s="310">
        <v>62.5</v>
      </c>
      <c r="I23" s="310"/>
      <c r="J23" s="310">
        <v>0.01</v>
      </c>
      <c r="K23" s="310">
        <v>2.9</v>
      </c>
      <c r="L23" s="310">
        <v>0</v>
      </c>
      <c r="M23" s="310">
        <v>0.06</v>
      </c>
      <c r="N23" s="310">
        <v>8.0500000000000007</v>
      </c>
      <c r="O23" s="310">
        <v>9.7799999999999994</v>
      </c>
      <c r="P23" s="310">
        <v>0.02</v>
      </c>
      <c r="Q23" s="310">
        <v>0</v>
      </c>
      <c r="R23" s="310">
        <v>5.24</v>
      </c>
      <c r="S23" s="310">
        <v>0.87</v>
      </c>
    </row>
    <row r="24" spans="1:19" ht="15" customHeight="1">
      <c r="A24" s="310" t="s">
        <v>224</v>
      </c>
      <c r="B24" s="410" t="s">
        <v>235</v>
      </c>
      <c r="C24" s="411"/>
      <c r="D24" s="310">
        <v>40</v>
      </c>
      <c r="E24" s="310">
        <v>2.64</v>
      </c>
      <c r="F24" s="310">
        <v>0.48</v>
      </c>
      <c r="G24" s="310">
        <v>13.68</v>
      </c>
      <c r="H24" s="310">
        <v>69.599999999999994</v>
      </c>
      <c r="I24" s="310">
        <v>0.08</v>
      </c>
      <c r="J24" s="310">
        <v>0.04</v>
      </c>
      <c r="K24" s="310">
        <v>0</v>
      </c>
      <c r="L24" s="310">
        <v>0</v>
      </c>
      <c r="M24" s="310">
        <v>2.4</v>
      </c>
      <c r="N24" s="310">
        <v>14</v>
      </c>
      <c r="O24" s="310">
        <v>63.2</v>
      </c>
      <c r="P24" s="310">
        <v>1.2</v>
      </c>
      <c r="Q24" s="310">
        <v>1E-3</v>
      </c>
      <c r="R24" s="310">
        <v>9.4</v>
      </c>
      <c r="S24" s="310">
        <v>0.78</v>
      </c>
    </row>
    <row r="25" spans="1:19" ht="15" customHeight="1">
      <c r="A25" s="310" t="s">
        <v>224</v>
      </c>
      <c r="B25" s="410" t="s">
        <v>117</v>
      </c>
      <c r="C25" s="411"/>
      <c r="D25" s="310">
        <v>30</v>
      </c>
      <c r="E25" s="310">
        <v>1.52</v>
      </c>
      <c r="F25" s="310">
        <v>0.16</v>
      </c>
      <c r="G25" s="310">
        <v>9.84</v>
      </c>
      <c r="H25" s="310">
        <v>46.9</v>
      </c>
      <c r="I25" s="310">
        <v>0.02</v>
      </c>
      <c r="J25" s="310">
        <v>0.01</v>
      </c>
      <c r="K25" s="310">
        <v>0.44</v>
      </c>
      <c r="L25" s="310">
        <v>0</v>
      </c>
      <c r="M25" s="310">
        <v>0.7</v>
      </c>
      <c r="N25" s="310">
        <v>4</v>
      </c>
      <c r="O25" s="310">
        <v>13</v>
      </c>
      <c r="P25" s="310">
        <v>8.0000000000000002E-3</v>
      </c>
      <c r="Q25" s="310">
        <v>1E-3</v>
      </c>
      <c r="R25" s="310">
        <v>0</v>
      </c>
      <c r="S25" s="310">
        <v>0.22</v>
      </c>
    </row>
    <row r="26" spans="1:19" ht="15" customHeight="1">
      <c r="A26" s="451" t="s">
        <v>236</v>
      </c>
      <c r="B26" s="452"/>
      <c r="C26" s="453"/>
      <c r="D26" s="301">
        <f>D19+D21+D22+D24+D25+260+204</f>
        <v>914</v>
      </c>
      <c r="E26" s="301">
        <f>SUM(E19:E25)</f>
        <v>30.8</v>
      </c>
      <c r="F26" s="301">
        <f t="shared" ref="F26:S26" si="2">SUM(F19:F25)</f>
        <v>25.268999999999998</v>
      </c>
      <c r="G26" s="301">
        <f t="shared" si="2"/>
        <v>112.15</v>
      </c>
      <c r="H26" s="301">
        <f t="shared" si="2"/>
        <v>798.34699999999998</v>
      </c>
      <c r="I26" s="301">
        <f t="shared" si="2"/>
        <v>0.60799999999999998</v>
      </c>
      <c r="J26" s="301">
        <f t="shared" si="2"/>
        <v>0.32300000000000001</v>
      </c>
      <c r="K26" s="301">
        <f t="shared" si="2"/>
        <v>34.242999999999995</v>
      </c>
      <c r="L26" s="301">
        <f t="shared" si="2"/>
        <v>1.6440000000000001</v>
      </c>
      <c r="M26" s="301">
        <f t="shared" si="2"/>
        <v>7.4099999999999993</v>
      </c>
      <c r="N26" s="301">
        <f t="shared" si="2"/>
        <v>157.59</v>
      </c>
      <c r="O26" s="301">
        <f t="shared" si="2"/>
        <v>292.12</v>
      </c>
      <c r="P26" s="301">
        <f t="shared" si="2"/>
        <v>2.4980000000000002</v>
      </c>
      <c r="Q26" s="301">
        <f t="shared" si="2"/>
        <v>6.0000000000000001E-3</v>
      </c>
      <c r="R26" s="301">
        <f t="shared" si="2"/>
        <v>101.63</v>
      </c>
      <c r="S26" s="301">
        <f t="shared" si="2"/>
        <v>8.0300000000000011</v>
      </c>
    </row>
    <row r="27" spans="1:19">
      <c r="A27" s="405" t="s">
        <v>226</v>
      </c>
      <c r="B27" s="405"/>
      <c r="C27" s="405"/>
      <c r="D27" s="405"/>
      <c r="E27" s="174">
        <f t="shared" ref="E27:S27" si="3">E26/E34</f>
        <v>0.34222222222222221</v>
      </c>
      <c r="F27" s="174">
        <f t="shared" si="3"/>
        <v>0.27466304347826087</v>
      </c>
      <c r="G27" s="174">
        <f t="shared" si="3"/>
        <v>0.29281984334203659</v>
      </c>
      <c r="H27" s="174">
        <f t="shared" si="3"/>
        <v>0.29350992647058821</v>
      </c>
      <c r="I27" s="174">
        <f t="shared" si="3"/>
        <v>0.43428571428571427</v>
      </c>
      <c r="J27" s="174">
        <f t="shared" si="3"/>
        <v>0.201875</v>
      </c>
      <c r="K27" s="174">
        <f t="shared" si="3"/>
        <v>0.48918571428571422</v>
      </c>
      <c r="L27" s="174">
        <f t="shared" si="3"/>
        <v>1.8266666666666667</v>
      </c>
      <c r="M27" s="174">
        <f t="shared" si="3"/>
        <v>0.61749999999999994</v>
      </c>
      <c r="N27" s="174">
        <f t="shared" si="3"/>
        <v>0.131325</v>
      </c>
      <c r="O27" s="174">
        <f t="shared" si="3"/>
        <v>0.24343333333333333</v>
      </c>
      <c r="P27" s="174">
        <f t="shared" si="3"/>
        <v>0.17842857142857144</v>
      </c>
      <c r="Q27" s="174">
        <f t="shared" si="3"/>
        <v>0.06</v>
      </c>
      <c r="R27" s="174">
        <f t="shared" si="3"/>
        <v>0.33876666666666666</v>
      </c>
      <c r="S27" s="174">
        <f t="shared" si="3"/>
        <v>0.44611111111111118</v>
      </c>
    </row>
    <row r="28" spans="1:19" ht="15" customHeight="1">
      <c r="A28" s="416" t="s">
        <v>237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ht="15" customHeight="1">
      <c r="A29" s="310" t="s">
        <v>224</v>
      </c>
      <c r="B29" s="406" t="s">
        <v>238</v>
      </c>
      <c r="C29" s="406"/>
      <c r="D29" s="310">
        <v>100</v>
      </c>
      <c r="E29" s="310">
        <v>7.86</v>
      </c>
      <c r="F29" s="310">
        <v>5.57</v>
      </c>
      <c r="G29" s="310">
        <v>53.71</v>
      </c>
      <c r="H29" s="310">
        <v>297.14</v>
      </c>
      <c r="I29" s="310">
        <v>0.1</v>
      </c>
      <c r="J29" s="310">
        <v>0.04</v>
      </c>
      <c r="K29" s="310">
        <v>0</v>
      </c>
      <c r="L29" s="310">
        <v>0.1</v>
      </c>
      <c r="M29" s="310"/>
      <c r="N29" s="310">
        <v>16.170000000000002</v>
      </c>
      <c r="O29" s="310">
        <v>0</v>
      </c>
      <c r="P29" s="310">
        <v>0</v>
      </c>
      <c r="Q29" s="310">
        <v>0</v>
      </c>
      <c r="R29" s="310">
        <v>11.19</v>
      </c>
      <c r="S29" s="310">
        <v>0.9</v>
      </c>
    </row>
    <row r="30" spans="1:19">
      <c r="A30" s="305">
        <v>349</v>
      </c>
      <c r="B30" s="417" t="s">
        <v>239</v>
      </c>
      <c r="C30" s="417"/>
      <c r="D30" s="305">
        <v>200</v>
      </c>
      <c r="E30" s="305">
        <v>0.22</v>
      </c>
      <c r="F30" s="305">
        <v>0</v>
      </c>
      <c r="G30" s="305">
        <v>24.42</v>
      </c>
      <c r="H30" s="305">
        <v>98.56</v>
      </c>
      <c r="I30" s="305"/>
      <c r="J30" s="305"/>
      <c r="K30" s="305">
        <v>0.2</v>
      </c>
      <c r="L30" s="305"/>
      <c r="M30" s="305"/>
      <c r="N30" s="305">
        <v>22.6</v>
      </c>
      <c r="O30" s="305">
        <v>7.7</v>
      </c>
      <c r="P30" s="305">
        <v>0</v>
      </c>
      <c r="Q30" s="305">
        <v>0</v>
      </c>
      <c r="R30" s="305">
        <v>3</v>
      </c>
      <c r="S30" s="305">
        <v>0.66</v>
      </c>
    </row>
    <row r="31" spans="1:19" ht="15" customHeight="1">
      <c r="A31" s="413" t="s">
        <v>240</v>
      </c>
      <c r="B31" s="414"/>
      <c r="C31" s="415"/>
      <c r="D31" s="301">
        <f>D29+D30</f>
        <v>300</v>
      </c>
      <c r="E31" s="301">
        <f t="shared" ref="E31:S31" si="4">E29+E30</f>
        <v>8.08</v>
      </c>
      <c r="F31" s="301">
        <f t="shared" si="4"/>
        <v>5.57</v>
      </c>
      <c r="G31" s="301">
        <f t="shared" si="4"/>
        <v>78.13</v>
      </c>
      <c r="H31" s="301">
        <f t="shared" si="4"/>
        <v>395.7</v>
      </c>
      <c r="I31" s="301">
        <f t="shared" si="4"/>
        <v>0.1</v>
      </c>
      <c r="J31" s="301">
        <f t="shared" si="4"/>
        <v>0.04</v>
      </c>
      <c r="K31" s="301">
        <f t="shared" si="4"/>
        <v>0.2</v>
      </c>
      <c r="L31" s="301">
        <f t="shared" si="4"/>
        <v>0.1</v>
      </c>
      <c r="M31" s="301">
        <f t="shared" si="4"/>
        <v>0</v>
      </c>
      <c r="N31" s="301">
        <f t="shared" si="4"/>
        <v>38.770000000000003</v>
      </c>
      <c r="O31" s="301">
        <f t="shared" si="4"/>
        <v>7.7</v>
      </c>
      <c r="P31" s="301">
        <f t="shared" si="4"/>
        <v>0</v>
      </c>
      <c r="Q31" s="301">
        <f t="shared" si="4"/>
        <v>0</v>
      </c>
      <c r="R31" s="301">
        <f t="shared" si="4"/>
        <v>14.19</v>
      </c>
      <c r="S31" s="301">
        <f t="shared" si="4"/>
        <v>1.56</v>
      </c>
    </row>
    <row r="32" spans="1:19" ht="15" customHeight="1">
      <c r="A32" s="405" t="s">
        <v>226</v>
      </c>
      <c r="B32" s="405"/>
      <c r="C32" s="405"/>
      <c r="D32" s="405"/>
      <c r="E32" s="174">
        <f>E31/E34</f>
        <v>8.9777777777777776E-2</v>
      </c>
      <c r="F32" s="174">
        <v>5.8000000000000003E-2</v>
      </c>
      <c r="G32" s="174">
        <v>0.122</v>
      </c>
      <c r="H32" s="174">
        <v>9.6000000000000002E-2</v>
      </c>
      <c r="I32" s="174">
        <v>5.7000000000000002E-2</v>
      </c>
      <c r="J32" s="174">
        <v>0.188</v>
      </c>
      <c r="K32" s="174">
        <v>0.66400000000000003</v>
      </c>
      <c r="L32" s="174">
        <v>8.8999999999999996E-2</v>
      </c>
      <c r="M32" s="174">
        <v>0.1</v>
      </c>
      <c r="N32" s="174">
        <v>0.23200000000000001</v>
      </c>
      <c r="O32" s="174">
        <v>0.17399999999999999</v>
      </c>
      <c r="P32" s="174">
        <v>4.7E-2</v>
      </c>
      <c r="Q32" s="174">
        <v>0.03</v>
      </c>
      <c r="R32" s="174">
        <v>0.14399999999999999</v>
      </c>
      <c r="S32" s="174">
        <v>0.122</v>
      </c>
    </row>
    <row r="33" spans="1:19" ht="15" customHeight="1">
      <c r="A33" s="405" t="s">
        <v>241</v>
      </c>
      <c r="B33" s="405"/>
      <c r="C33" s="405"/>
      <c r="D33" s="405"/>
      <c r="E33" s="301">
        <f ca="1">E15+E26+E31</f>
        <v>59.497999999999998</v>
      </c>
      <c r="F33" s="301">
        <f t="shared" ref="F33:S33" ca="1" si="5">F15+F26+F31</f>
        <v>54.321999999999996</v>
      </c>
      <c r="G33" s="301">
        <f t="shared" ca="1" si="5"/>
        <v>281.27999999999997</v>
      </c>
      <c r="H33" s="301">
        <f t="shared" ca="1" si="5"/>
        <v>1844.4570000000001</v>
      </c>
      <c r="I33" s="301">
        <f t="shared" ca="1" si="5"/>
        <v>1.133</v>
      </c>
      <c r="J33" s="301">
        <f t="shared" ca="1" si="5"/>
        <v>0.71300000000000008</v>
      </c>
      <c r="K33" s="301">
        <f t="shared" ca="1" si="5"/>
        <v>48.688000000000002</v>
      </c>
      <c r="L33" s="301">
        <f t="shared" ca="1" si="5"/>
        <v>1.9300000000000002</v>
      </c>
      <c r="M33" s="301">
        <f t="shared" ca="1" si="5"/>
        <v>8.8099999999999987</v>
      </c>
      <c r="N33" s="301">
        <f t="shared" ca="1" si="5"/>
        <v>677.18500000000006</v>
      </c>
      <c r="O33" s="301">
        <f t="shared" ca="1" si="5"/>
        <v>893.19500000000005</v>
      </c>
      <c r="P33" s="301">
        <f t="shared" ca="1" si="5"/>
        <v>4.306</v>
      </c>
      <c r="Q33" s="301">
        <f t="shared" ca="1" si="5"/>
        <v>6.3E-2</v>
      </c>
      <c r="R33" s="301">
        <f t="shared" ca="1" si="5"/>
        <v>238.733</v>
      </c>
      <c r="S33" s="301">
        <f t="shared" ca="1" si="5"/>
        <v>15.403000000000002</v>
      </c>
    </row>
    <row r="34" spans="1:19" ht="15" customHeight="1">
      <c r="A34" s="405" t="s">
        <v>242</v>
      </c>
      <c r="B34" s="405"/>
      <c r="C34" s="405"/>
      <c r="D34" s="405"/>
      <c r="E34" s="310">
        <v>90</v>
      </c>
      <c r="F34" s="310">
        <v>92</v>
      </c>
      <c r="G34" s="310">
        <v>383</v>
      </c>
      <c r="H34" s="310">
        <v>2720</v>
      </c>
      <c r="I34" s="310">
        <v>1.4</v>
      </c>
      <c r="J34" s="310">
        <v>1.6</v>
      </c>
      <c r="K34" s="310">
        <v>70</v>
      </c>
      <c r="L34" s="310">
        <v>0.9</v>
      </c>
      <c r="M34" s="310">
        <v>12</v>
      </c>
      <c r="N34" s="310">
        <v>1200</v>
      </c>
      <c r="O34" s="310">
        <v>1200</v>
      </c>
      <c r="P34" s="310">
        <v>14</v>
      </c>
      <c r="Q34" s="310">
        <v>0.1</v>
      </c>
      <c r="R34" s="310">
        <v>300</v>
      </c>
      <c r="S34" s="310">
        <v>18</v>
      </c>
    </row>
    <row r="35" spans="1:19" ht="15" customHeight="1">
      <c r="A35" s="405" t="s">
        <v>226</v>
      </c>
      <c r="B35" s="405"/>
      <c r="C35" s="405"/>
      <c r="D35" s="405"/>
      <c r="E35" s="174">
        <f ca="1">E33/E34</f>
        <v>0.66108888888888884</v>
      </c>
      <c r="F35" s="174">
        <f t="shared" ref="F35:S35" ca="1" si="6">F33/F34</f>
        <v>0.59045652173913044</v>
      </c>
      <c r="G35" s="174">
        <f t="shared" ca="1" si="6"/>
        <v>0.73441253263707562</v>
      </c>
      <c r="H35" s="174">
        <f t="shared" ca="1" si="6"/>
        <v>0.67810919117647062</v>
      </c>
      <c r="I35" s="174">
        <f t="shared" ca="1" si="6"/>
        <v>0.80928571428571439</v>
      </c>
      <c r="J35" s="174">
        <f t="shared" ca="1" si="6"/>
        <v>0.44562500000000005</v>
      </c>
      <c r="K35" s="174">
        <f t="shared" ca="1" si="6"/>
        <v>0.69554285714285713</v>
      </c>
      <c r="L35" s="174">
        <f t="shared" ca="1" si="6"/>
        <v>2.1444444444444444</v>
      </c>
      <c r="M35" s="174">
        <f t="shared" ca="1" si="6"/>
        <v>0.73416666666666652</v>
      </c>
      <c r="N35" s="174">
        <f t="shared" ca="1" si="6"/>
        <v>0.56432083333333338</v>
      </c>
      <c r="O35" s="174">
        <f t="shared" ca="1" si="6"/>
        <v>0.74432916666666671</v>
      </c>
      <c r="P35" s="174">
        <f t="shared" ca="1" si="6"/>
        <v>0.30757142857142855</v>
      </c>
      <c r="Q35" s="174">
        <f t="shared" ca="1" si="6"/>
        <v>0.63</v>
      </c>
      <c r="R35" s="174">
        <f t="shared" ca="1" si="6"/>
        <v>0.79577666666666669</v>
      </c>
      <c r="S35" s="174">
        <f t="shared" ca="1" si="6"/>
        <v>0.85572222222222238</v>
      </c>
    </row>
    <row r="36" spans="1:19">
      <c r="A36" s="172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400" t="s">
        <v>187</v>
      </c>
      <c r="M36" s="400"/>
      <c r="N36" s="400"/>
      <c r="O36" s="400"/>
      <c r="P36" s="400"/>
      <c r="Q36" s="400"/>
      <c r="R36" s="400"/>
      <c r="S36" s="400"/>
    </row>
    <row r="37" spans="1:19">
      <c r="A37" s="401" t="s">
        <v>188</v>
      </c>
      <c r="B37" s="401"/>
      <c r="C37" s="401"/>
      <c r="D37" s="401"/>
      <c r="E37" s="401"/>
      <c r="F37" s="401"/>
      <c r="G37" s="401"/>
      <c r="H37" s="401"/>
      <c r="I37" s="401"/>
      <c r="J37" s="401"/>
      <c r="K37" s="401"/>
      <c r="L37" s="401"/>
      <c r="M37" s="401"/>
      <c r="N37" s="401"/>
      <c r="O37" s="401"/>
      <c r="P37" s="401"/>
      <c r="Q37" s="401"/>
      <c r="R37" s="401"/>
      <c r="S37" s="401"/>
    </row>
    <row r="38" spans="1:19">
      <c r="A38" s="447" t="s">
        <v>189</v>
      </c>
      <c r="B38" s="447"/>
      <c r="C38" s="255"/>
      <c r="D38" s="255"/>
      <c r="E38" s="255"/>
      <c r="F38" s="448" t="s">
        <v>356</v>
      </c>
      <c r="G38" s="448"/>
      <c r="H38" s="448"/>
      <c r="I38" s="255"/>
      <c r="J38" s="255"/>
      <c r="K38" s="447" t="s">
        <v>191</v>
      </c>
      <c r="L38" s="447"/>
      <c r="M38" s="449" t="s">
        <v>192</v>
      </c>
      <c r="N38" s="449"/>
      <c r="O38" s="449"/>
      <c r="P38" s="449"/>
      <c r="Q38" s="255"/>
      <c r="R38" s="255"/>
      <c r="S38" s="255"/>
    </row>
    <row r="39" spans="1:19">
      <c r="A39" s="400" t="s">
        <v>193</v>
      </c>
      <c r="B39" s="400"/>
      <c r="C39" s="400"/>
      <c r="D39" s="450" t="s">
        <v>194</v>
      </c>
      <c r="E39" s="450"/>
      <c r="F39" s="248">
        <v>1</v>
      </c>
      <c r="G39" s="248"/>
      <c r="H39" s="248"/>
      <c r="I39" s="248"/>
      <c r="J39" s="248"/>
      <c r="K39" s="401" t="s">
        <v>195</v>
      </c>
      <c r="L39" s="401"/>
      <c r="M39" s="400" t="s">
        <v>347</v>
      </c>
      <c r="N39" s="400"/>
      <c r="O39" s="400"/>
      <c r="P39" s="400"/>
      <c r="Q39" s="400"/>
      <c r="R39" s="400"/>
      <c r="S39" s="400"/>
    </row>
    <row r="40" spans="1:19">
      <c r="A40" s="412" t="s">
        <v>197</v>
      </c>
      <c r="B40" s="412" t="s">
        <v>198</v>
      </c>
      <c r="C40" s="412"/>
      <c r="D40" s="412" t="s">
        <v>199</v>
      </c>
      <c r="E40" s="412" t="s">
        <v>200</v>
      </c>
      <c r="F40" s="412"/>
      <c r="G40" s="412"/>
      <c r="H40" s="252" t="s">
        <v>201</v>
      </c>
      <c r="I40" s="412" t="s">
        <v>202</v>
      </c>
      <c r="J40" s="412"/>
      <c r="K40" s="412"/>
      <c r="L40" s="412"/>
      <c r="M40" s="412"/>
      <c r="N40" s="412" t="s">
        <v>203</v>
      </c>
      <c r="O40" s="412"/>
      <c r="P40" s="412"/>
      <c r="Q40" s="412"/>
      <c r="R40" s="412"/>
      <c r="S40" s="412"/>
    </row>
    <row r="41" spans="1:19" ht="38.25">
      <c r="A41" s="412"/>
      <c r="B41" s="412"/>
      <c r="C41" s="412"/>
      <c r="D41" s="412"/>
      <c r="E41" s="252" t="s">
        <v>204</v>
      </c>
      <c r="F41" s="252" t="s">
        <v>205</v>
      </c>
      <c r="G41" s="252" t="s">
        <v>206</v>
      </c>
      <c r="H41" s="252" t="s">
        <v>207</v>
      </c>
      <c r="I41" s="252" t="s">
        <v>208</v>
      </c>
      <c r="J41" s="252" t="s">
        <v>209</v>
      </c>
      <c r="K41" s="252" t="s">
        <v>210</v>
      </c>
      <c r="L41" s="252" t="s">
        <v>211</v>
      </c>
      <c r="M41" s="252" t="s">
        <v>212</v>
      </c>
      <c r="N41" s="252" t="s">
        <v>213</v>
      </c>
      <c r="O41" s="252" t="s">
        <v>214</v>
      </c>
      <c r="P41" s="252" t="s">
        <v>215</v>
      </c>
      <c r="Q41" s="252" t="s">
        <v>216</v>
      </c>
      <c r="R41" s="252" t="s">
        <v>217</v>
      </c>
      <c r="S41" s="252" t="s">
        <v>218</v>
      </c>
    </row>
    <row r="42" spans="1:19">
      <c r="A42" s="249">
        <v>1</v>
      </c>
      <c r="B42" s="407">
        <v>2</v>
      </c>
      <c r="C42" s="407"/>
      <c r="D42" s="249">
        <v>3</v>
      </c>
      <c r="E42" s="249">
        <v>4</v>
      </c>
      <c r="F42" s="249">
        <v>5</v>
      </c>
      <c r="G42" s="249">
        <v>6</v>
      </c>
      <c r="H42" s="249">
        <v>7</v>
      </c>
      <c r="I42" s="249">
        <v>8</v>
      </c>
      <c r="J42" s="249">
        <v>9</v>
      </c>
      <c r="K42" s="249">
        <v>10</v>
      </c>
      <c r="L42" s="249">
        <v>11</v>
      </c>
      <c r="M42" s="249">
        <v>12</v>
      </c>
      <c r="N42" s="249">
        <v>13</v>
      </c>
      <c r="O42" s="249">
        <v>14</v>
      </c>
      <c r="P42" s="249">
        <v>15</v>
      </c>
      <c r="Q42" s="249">
        <v>16</v>
      </c>
      <c r="R42" s="249">
        <v>17</v>
      </c>
      <c r="S42" s="249">
        <v>18</v>
      </c>
    </row>
    <row r="43" spans="1:19">
      <c r="A43" s="450" t="s">
        <v>219</v>
      </c>
      <c r="B43" s="450"/>
      <c r="C43" s="450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</row>
    <row r="44" spans="1:19" ht="15" customHeight="1">
      <c r="A44" s="306" t="s">
        <v>340</v>
      </c>
      <c r="B44" s="439" t="s">
        <v>339</v>
      </c>
      <c r="C44" s="439"/>
      <c r="D44" s="310">
        <v>40</v>
      </c>
      <c r="E44" s="311">
        <v>1.1200000000000001</v>
      </c>
      <c r="F44" s="311">
        <v>0</v>
      </c>
      <c r="G44" s="311">
        <v>0.52</v>
      </c>
      <c r="H44" s="306">
        <v>6.44</v>
      </c>
      <c r="I44" s="311">
        <v>0</v>
      </c>
      <c r="J44" s="311">
        <v>0</v>
      </c>
      <c r="K44" s="311">
        <v>0</v>
      </c>
      <c r="L44" s="311">
        <v>0</v>
      </c>
      <c r="M44" s="311">
        <v>0</v>
      </c>
      <c r="N44" s="311">
        <v>0</v>
      </c>
      <c r="O44" s="311">
        <v>0</v>
      </c>
      <c r="P44" s="311">
        <v>0</v>
      </c>
      <c r="Q44" s="311">
        <v>0</v>
      </c>
      <c r="R44" s="311">
        <v>0</v>
      </c>
      <c r="S44" s="311">
        <v>0</v>
      </c>
    </row>
    <row r="45" spans="1:19" ht="15" customHeight="1">
      <c r="A45" s="303">
        <v>71</v>
      </c>
      <c r="B45" s="406" t="s">
        <v>338</v>
      </c>
      <c r="C45" s="406"/>
      <c r="D45" s="303">
        <v>40</v>
      </c>
      <c r="E45" s="303">
        <v>0.33</v>
      </c>
      <c r="F45" s="303">
        <v>0.04</v>
      </c>
      <c r="G45" s="303">
        <v>1.1299999999999999</v>
      </c>
      <c r="H45" s="303">
        <v>6.23</v>
      </c>
      <c r="I45" s="303">
        <v>8.9999999999999993E-3</v>
      </c>
      <c r="J45" s="303">
        <v>0.01</v>
      </c>
      <c r="K45" s="303">
        <v>3</v>
      </c>
      <c r="L45" s="303">
        <v>3.0000000000000001E-3</v>
      </c>
      <c r="M45" s="303">
        <v>0.03</v>
      </c>
      <c r="N45" s="303">
        <v>6.9</v>
      </c>
      <c r="O45" s="303">
        <v>12.6</v>
      </c>
      <c r="P45" s="303">
        <v>6.4000000000000001E-2</v>
      </c>
      <c r="Q45" s="303">
        <v>1E-3</v>
      </c>
      <c r="R45" s="303">
        <v>4.2</v>
      </c>
      <c r="S45" s="303">
        <v>0.18</v>
      </c>
    </row>
    <row r="46" spans="1:19" ht="15" customHeight="1">
      <c r="A46" s="304" t="s">
        <v>248</v>
      </c>
      <c r="B46" s="417" t="s">
        <v>114</v>
      </c>
      <c r="C46" s="417"/>
      <c r="D46" s="303">
        <v>100</v>
      </c>
      <c r="E46" s="303">
        <v>11.4</v>
      </c>
      <c r="F46" s="303">
        <v>11.2</v>
      </c>
      <c r="G46" s="303">
        <v>13.5</v>
      </c>
      <c r="H46" s="303">
        <v>202</v>
      </c>
      <c r="I46" s="303">
        <v>0.08</v>
      </c>
      <c r="J46" s="303">
        <v>0.13</v>
      </c>
      <c r="K46" s="303">
        <v>1</v>
      </c>
      <c r="L46" s="303">
        <v>0.08</v>
      </c>
      <c r="M46" s="303"/>
      <c r="N46" s="303">
        <v>32</v>
      </c>
      <c r="O46" s="303">
        <v>0</v>
      </c>
      <c r="P46" s="303"/>
      <c r="Q46" s="303">
        <v>0</v>
      </c>
      <c r="R46" s="303">
        <v>26.1</v>
      </c>
      <c r="S46" s="303">
        <v>1.19</v>
      </c>
    </row>
    <row r="47" spans="1:19" ht="15" customHeight="1">
      <c r="A47" s="310">
        <v>304</v>
      </c>
      <c r="B47" s="406" t="s">
        <v>249</v>
      </c>
      <c r="C47" s="406"/>
      <c r="D47" s="310">
        <v>180</v>
      </c>
      <c r="E47" s="310">
        <v>4.4400000000000004</v>
      </c>
      <c r="F47" s="310">
        <v>6.44</v>
      </c>
      <c r="G47" s="310">
        <v>44.02</v>
      </c>
      <c r="H47" s="310">
        <v>251.82</v>
      </c>
      <c r="I47" s="310">
        <v>0.04</v>
      </c>
      <c r="J47" s="310">
        <v>0.02</v>
      </c>
      <c r="K47" s="310">
        <v>0</v>
      </c>
      <c r="L47" s="310">
        <v>0.05</v>
      </c>
      <c r="M47" s="310">
        <v>0</v>
      </c>
      <c r="N47" s="310">
        <v>17.899999999999999</v>
      </c>
      <c r="O47" s="310">
        <v>95.3</v>
      </c>
      <c r="P47" s="310">
        <v>0</v>
      </c>
      <c r="Q47" s="310">
        <v>1.1999999999999999E-3</v>
      </c>
      <c r="R47" s="310">
        <v>33.5</v>
      </c>
      <c r="S47" s="310">
        <v>0.71</v>
      </c>
    </row>
    <row r="48" spans="1:19" ht="15" customHeight="1">
      <c r="A48" s="310">
        <v>379</v>
      </c>
      <c r="B48" s="406" t="s">
        <v>250</v>
      </c>
      <c r="C48" s="406"/>
      <c r="D48" s="310">
        <v>200</v>
      </c>
      <c r="E48" s="310">
        <v>3.17</v>
      </c>
      <c r="F48" s="310">
        <v>2.68</v>
      </c>
      <c r="G48" s="310">
        <v>15.95</v>
      </c>
      <c r="H48" s="310">
        <v>100.6</v>
      </c>
      <c r="I48" s="310">
        <v>0.04</v>
      </c>
      <c r="J48" s="310">
        <v>0.15</v>
      </c>
      <c r="K48" s="310">
        <v>1.3</v>
      </c>
      <c r="L48" s="310">
        <v>0.03</v>
      </c>
      <c r="M48" s="310">
        <v>0.06</v>
      </c>
      <c r="N48" s="310">
        <v>120.4</v>
      </c>
      <c r="O48" s="310">
        <v>90</v>
      </c>
      <c r="P48" s="310">
        <v>1.1000000000000001</v>
      </c>
      <c r="Q48" s="310">
        <v>0.01</v>
      </c>
      <c r="R48" s="310">
        <v>14</v>
      </c>
      <c r="S48" s="310">
        <v>0.12</v>
      </c>
    </row>
    <row r="49" spans="1:19">
      <c r="A49" s="310">
        <v>0.08</v>
      </c>
      <c r="B49" s="406" t="s">
        <v>161</v>
      </c>
      <c r="C49" s="406"/>
      <c r="D49" s="310">
        <v>40</v>
      </c>
      <c r="E49" s="310">
        <v>3.04</v>
      </c>
      <c r="F49" s="310">
        <v>0.32</v>
      </c>
      <c r="G49" s="310">
        <v>19.68</v>
      </c>
      <c r="H49" s="310">
        <v>93.8</v>
      </c>
      <c r="I49" s="310">
        <v>0.04</v>
      </c>
      <c r="J49" s="310">
        <v>0.01</v>
      </c>
      <c r="K49" s="310">
        <v>0.88</v>
      </c>
      <c r="L49" s="310">
        <v>0</v>
      </c>
      <c r="M49" s="310">
        <v>0.7</v>
      </c>
      <c r="N49" s="310">
        <v>8</v>
      </c>
      <c r="O49" s="310">
        <v>26</v>
      </c>
      <c r="P49" s="310">
        <v>8.0000000000000002E-3</v>
      </c>
      <c r="Q49" s="310">
        <v>3.0000000000000001E-3</v>
      </c>
      <c r="R49" s="310">
        <v>0</v>
      </c>
      <c r="S49" s="310">
        <v>0.44</v>
      </c>
    </row>
    <row r="50" spans="1:19" ht="15" customHeight="1">
      <c r="A50" s="413" t="s">
        <v>251</v>
      </c>
      <c r="B50" s="414"/>
      <c r="C50" s="415"/>
      <c r="D50" s="301">
        <f>SUM(D45:D49)</f>
        <v>560</v>
      </c>
      <c r="E50" s="301">
        <f t="shared" ref="E50:S50" si="7">SUM(E45:E49)</f>
        <v>22.380000000000003</v>
      </c>
      <c r="F50" s="301">
        <f t="shared" si="7"/>
        <v>20.68</v>
      </c>
      <c r="G50" s="301">
        <f t="shared" si="7"/>
        <v>94.28</v>
      </c>
      <c r="H50" s="301">
        <f t="shared" si="7"/>
        <v>654.44999999999993</v>
      </c>
      <c r="I50" s="301">
        <f t="shared" si="7"/>
        <v>0.20900000000000002</v>
      </c>
      <c r="J50" s="301">
        <f t="shared" si="7"/>
        <v>0.32</v>
      </c>
      <c r="K50" s="301">
        <f t="shared" si="7"/>
        <v>6.18</v>
      </c>
      <c r="L50" s="301">
        <f t="shared" si="7"/>
        <v>0.16300000000000001</v>
      </c>
      <c r="M50" s="301">
        <f t="shared" si="7"/>
        <v>0.78999999999999992</v>
      </c>
      <c r="N50" s="301">
        <f t="shared" si="7"/>
        <v>185.2</v>
      </c>
      <c r="O50" s="301">
        <f t="shared" si="7"/>
        <v>223.89999999999998</v>
      </c>
      <c r="P50" s="301">
        <f t="shared" si="7"/>
        <v>1.1720000000000002</v>
      </c>
      <c r="Q50" s="301">
        <f t="shared" si="7"/>
        <v>1.5199999999999998E-2</v>
      </c>
      <c r="R50" s="301">
        <f t="shared" si="7"/>
        <v>77.8</v>
      </c>
      <c r="S50" s="301">
        <f t="shared" si="7"/>
        <v>2.64</v>
      </c>
    </row>
    <row r="51" spans="1:19" ht="15" customHeight="1">
      <c r="A51" s="405" t="s">
        <v>226</v>
      </c>
      <c r="B51" s="405"/>
      <c r="C51" s="405"/>
      <c r="D51" s="405"/>
      <c r="E51" s="174">
        <f t="shared" ref="E51:S51" si="8">E50/E68</f>
        <v>54.188861985472158</v>
      </c>
      <c r="F51" s="174">
        <f t="shared" si="8"/>
        <v>56.15584415584415</v>
      </c>
      <c r="G51" s="174">
        <f t="shared" si="8"/>
        <v>210.43906987586689</v>
      </c>
      <c r="H51" s="174">
        <f t="shared" si="8"/>
        <v>1559.6341206981144</v>
      </c>
      <c r="I51" s="174">
        <f t="shared" si="8"/>
        <v>0.51333333333333342</v>
      </c>
      <c r="J51" s="174">
        <f t="shared" si="8"/>
        <v>0.8</v>
      </c>
      <c r="K51" s="174">
        <f t="shared" si="8"/>
        <v>8.3432979749276743</v>
      </c>
      <c r="L51" s="174">
        <f t="shared" si="8"/>
        <v>0.35264423076923074</v>
      </c>
      <c r="M51" s="174">
        <f t="shared" si="8"/>
        <v>1.2390537184681738</v>
      </c>
      <c r="N51" s="174">
        <f t="shared" si="8"/>
        <v>471.50676793821862</v>
      </c>
      <c r="O51" s="174">
        <f t="shared" si="8"/>
        <v>457.693814626169</v>
      </c>
      <c r="P51" s="174">
        <f t="shared" si="8"/>
        <v>6.0883116883116895</v>
      </c>
      <c r="Q51" s="174">
        <f t="shared" si="8"/>
        <v>5.2631578947368418E-2</v>
      </c>
      <c r="R51" s="174">
        <f t="shared" si="8"/>
        <v>155.6726472353765</v>
      </c>
      <c r="S51" s="174">
        <f t="shared" si="8"/>
        <v>5.8378378378378377</v>
      </c>
    </row>
    <row r="52" spans="1:19" ht="15" customHeight="1">
      <c r="A52" s="310">
        <v>52</v>
      </c>
      <c r="B52" s="406" t="s">
        <v>252</v>
      </c>
      <c r="C52" s="406"/>
      <c r="D52" s="310">
        <v>100</v>
      </c>
      <c r="E52" s="310">
        <v>1.43</v>
      </c>
      <c r="F52" s="310">
        <v>5.08</v>
      </c>
      <c r="G52" s="310">
        <v>8.5500000000000007</v>
      </c>
      <c r="H52" s="310">
        <v>85.68</v>
      </c>
      <c r="I52" s="310">
        <v>0.02</v>
      </c>
      <c r="J52" s="310">
        <v>0.03</v>
      </c>
      <c r="K52" s="310">
        <v>9.5</v>
      </c>
      <c r="L52" s="310">
        <v>0.02</v>
      </c>
      <c r="M52" s="310">
        <v>0.17</v>
      </c>
      <c r="N52" s="310">
        <v>44.35</v>
      </c>
      <c r="O52" s="310">
        <v>42.73</v>
      </c>
      <c r="P52" s="310">
        <v>0.72</v>
      </c>
      <c r="Q52" s="310">
        <v>1.7000000000000001E-2</v>
      </c>
      <c r="R52" s="310">
        <v>21.5</v>
      </c>
      <c r="S52" s="310">
        <v>1.4</v>
      </c>
    </row>
    <row r="53" spans="1:19" ht="29.25" customHeight="1">
      <c r="A53" s="305">
        <v>101</v>
      </c>
      <c r="B53" s="417" t="s">
        <v>253</v>
      </c>
      <c r="C53" s="417"/>
      <c r="D53" s="310">
        <v>250</v>
      </c>
      <c r="E53" s="310">
        <v>2.95</v>
      </c>
      <c r="F53" s="310">
        <v>3.07</v>
      </c>
      <c r="G53" s="310">
        <v>18.47</v>
      </c>
      <c r="H53" s="310">
        <v>115.19</v>
      </c>
      <c r="I53" s="310">
        <v>0.12</v>
      </c>
      <c r="J53" s="310">
        <v>7.0000000000000007E-2</v>
      </c>
      <c r="K53" s="310">
        <v>6.6</v>
      </c>
      <c r="L53" s="310">
        <v>0.2</v>
      </c>
      <c r="M53" s="310">
        <v>1.88</v>
      </c>
      <c r="N53" s="310">
        <v>27.99</v>
      </c>
      <c r="O53" s="310">
        <v>77.209999999999994</v>
      </c>
      <c r="P53" s="310"/>
      <c r="Q53" s="310">
        <v>4.8799999999999998E-3</v>
      </c>
      <c r="R53" s="310">
        <v>40.090000000000003</v>
      </c>
      <c r="S53" s="310">
        <v>1.53</v>
      </c>
    </row>
    <row r="54" spans="1:19" ht="26.25" customHeight="1">
      <c r="A54" s="241" t="s">
        <v>254</v>
      </c>
      <c r="B54" s="417" t="s">
        <v>255</v>
      </c>
      <c r="C54" s="417"/>
      <c r="D54" s="310">
        <v>100</v>
      </c>
      <c r="E54" s="310">
        <v>9.67</v>
      </c>
      <c r="F54" s="310">
        <v>5.25</v>
      </c>
      <c r="G54" s="310">
        <v>4.08</v>
      </c>
      <c r="H54" s="310">
        <v>101.67</v>
      </c>
      <c r="I54" s="310"/>
      <c r="J54" s="310"/>
      <c r="K54" s="310">
        <v>2.2799999999999998</v>
      </c>
      <c r="L54" s="310"/>
      <c r="M54" s="310"/>
      <c r="N54" s="310">
        <v>39.86</v>
      </c>
      <c r="O54" s="310"/>
      <c r="P54" s="310"/>
      <c r="Q54" s="310"/>
      <c r="R54" s="310">
        <v>0</v>
      </c>
      <c r="S54" s="310">
        <v>0.78</v>
      </c>
    </row>
    <row r="55" spans="1:19" ht="15" customHeight="1">
      <c r="A55" s="310">
        <v>312</v>
      </c>
      <c r="B55" s="406" t="s">
        <v>256</v>
      </c>
      <c r="C55" s="406"/>
      <c r="D55" s="310">
        <v>180</v>
      </c>
      <c r="E55" s="310">
        <v>3.95</v>
      </c>
      <c r="F55" s="310">
        <v>8.4700000000000006</v>
      </c>
      <c r="G55" s="310">
        <v>26.65</v>
      </c>
      <c r="H55" s="310">
        <v>198.65</v>
      </c>
      <c r="I55" s="310">
        <v>0.19</v>
      </c>
      <c r="J55" s="310">
        <v>0.16</v>
      </c>
      <c r="K55" s="310">
        <v>31.33</v>
      </c>
      <c r="L55" s="310">
        <v>9.6000000000000002E-2</v>
      </c>
      <c r="M55" s="310">
        <v>1.8</v>
      </c>
      <c r="N55" s="310">
        <v>51.05</v>
      </c>
      <c r="O55" s="310">
        <v>117.3</v>
      </c>
      <c r="P55" s="310">
        <v>0.35899999999999999</v>
      </c>
      <c r="Q55" s="310">
        <v>1E-3</v>
      </c>
      <c r="R55" s="310">
        <v>39.67</v>
      </c>
      <c r="S55" s="310">
        <v>1.43</v>
      </c>
    </row>
    <row r="56" spans="1:19" ht="15" customHeight="1">
      <c r="A56" s="310">
        <v>349</v>
      </c>
      <c r="B56" s="406" t="s">
        <v>239</v>
      </c>
      <c r="C56" s="406"/>
      <c r="D56" s="310">
        <v>200</v>
      </c>
      <c r="E56" s="310">
        <v>0.22</v>
      </c>
      <c r="F56" s="310"/>
      <c r="G56" s="310">
        <v>24.42</v>
      </c>
      <c r="H56" s="310">
        <v>98.56</v>
      </c>
      <c r="I56" s="310"/>
      <c r="J56" s="310"/>
      <c r="K56" s="310">
        <v>0.2</v>
      </c>
      <c r="L56" s="310"/>
      <c r="M56" s="310"/>
      <c r="N56" s="310">
        <v>22.6</v>
      </c>
      <c r="O56" s="310">
        <v>7.7</v>
      </c>
      <c r="P56" s="310">
        <v>0</v>
      </c>
      <c r="Q56" s="310">
        <v>0</v>
      </c>
      <c r="R56" s="310">
        <v>3</v>
      </c>
      <c r="S56" s="310">
        <v>0.66</v>
      </c>
    </row>
    <row r="57" spans="1:19" ht="15" customHeight="1">
      <c r="A57" s="310" t="s">
        <v>224</v>
      </c>
      <c r="B57" s="406" t="s">
        <v>235</v>
      </c>
      <c r="C57" s="406"/>
      <c r="D57" s="310">
        <v>40</v>
      </c>
      <c r="E57" s="310">
        <v>2.64</v>
      </c>
      <c r="F57" s="310">
        <v>0.48</v>
      </c>
      <c r="G57" s="310">
        <v>13.68</v>
      </c>
      <c r="H57" s="310">
        <v>69.599999999999994</v>
      </c>
      <c r="I57" s="310">
        <v>0.08</v>
      </c>
      <c r="J57" s="310">
        <v>0.04</v>
      </c>
      <c r="K57" s="310">
        <v>0</v>
      </c>
      <c r="L57" s="310">
        <v>0</v>
      </c>
      <c r="M57" s="310">
        <v>2.4</v>
      </c>
      <c r="N57" s="310">
        <v>14</v>
      </c>
      <c r="O57" s="310">
        <v>63.2</v>
      </c>
      <c r="P57" s="310">
        <v>1.2</v>
      </c>
      <c r="Q57" s="310">
        <v>1E-3</v>
      </c>
      <c r="R57" s="310">
        <v>9.4</v>
      </c>
      <c r="S57" s="310">
        <v>0.78</v>
      </c>
    </row>
    <row r="58" spans="1:19" ht="15" customHeight="1">
      <c r="A58" s="310" t="s">
        <v>224</v>
      </c>
      <c r="B58" s="406" t="s">
        <v>117</v>
      </c>
      <c r="C58" s="406"/>
      <c r="D58" s="310">
        <v>30</v>
      </c>
      <c r="E58" s="310">
        <v>1.52</v>
      </c>
      <c r="F58" s="310">
        <v>0.16</v>
      </c>
      <c r="G58" s="310">
        <v>9.84</v>
      </c>
      <c r="H58" s="310">
        <v>46.9</v>
      </c>
      <c r="I58" s="310">
        <v>0.02</v>
      </c>
      <c r="J58" s="310">
        <v>0.01</v>
      </c>
      <c r="K58" s="310">
        <v>0.44</v>
      </c>
      <c r="L58" s="310">
        <v>0</v>
      </c>
      <c r="M58" s="310">
        <v>0.7</v>
      </c>
      <c r="N58" s="310">
        <v>4</v>
      </c>
      <c r="O58" s="310">
        <v>13</v>
      </c>
      <c r="P58" s="310">
        <v>8.0000000000000002E-3</v>
      </c>
      <c r="Q58" s="310">
        <v>1E-3</v>
      </c>
      <c r="R58" s="310">
        <v>0</v>
      </c>
      <c r="S58" s="310">
        <v>0.22</v>
      </c>
    </row>
    <row r="59" spans="1:19" ht="15" customHeight="1">
      <c r="A59" s="405" t="s">
        <v>236</v>
      </c>
      <c r="B59" s="405"/>
      <c r="C59" s="405"/>
      <c r="D59" s="301">
        <f>SUM(D52:D58)</f>
        <v>900</v>
      </c>
      <c r="E59" s="301">
        <f t="shared" ref="E59:S59" si="9">SUM(E52:E58)</f>
        <v>22.38</v>
      </c>
      <c r="F59" s="301">
        <f t="shared" si="9"/>
        <v>22.51</v>
      </c>
      <c r="G59" s="301">
        <f t="shared" si="9"/>
        <v>105.69</v>
      </c>
      <c r="H59" s="301">
        <f t="shared" si="9"/>
        <v>716.25</v>
      </c>
      <c r="I59" s="301">
        <f t="shared" si="9"/>
        <v>0.43</v>
      </c>
      <c r="J59" s="301">
        <f t="shared" si="9"/>
        <v>0.31</v>
      </c>
      <c r="K59" s="301">
        <f t="shared" si="9"/>
        <v>50.35</v>
      </c>
      <c r="L59" s="301">
        <f t="shared" si="9"/>
        <v>0.316</v>
      </c>
      <c r="M59" s="301">
        <f t="shared" si="9"/>
        <v>6.95</v>
      </c>
      <c r="N59" s="301">
        <f t="shared" si="9"/>
        <v>203.85</v>
      </c>
      <c r="O59" s="301">
        <f t="shared" si="9"/>
        <v>321.14</v>
      </c>
      <c r="P59" s="301">
        <f t="shared" si="9"/>
        <v>2.2869999999999999</v>
      </c>
      <c r="Q59" s="301">
        <f t="shared" si="9"/>
        <v>2.4880000000000003E-2</v>
      </c>
      <c r="R59" s="301">
        <f t="shared" si="9"/>
        <v>113.66000000000001</v>
      </c>
      <c r="S59" s="301">
        <f t="shared" si="9"/>
        <v>6.8</v>
      </c>
    </row>
    <row r="60" spans="1:19" ht="15" customHeight="1">
      <c r="A60" s="405" t="s">
        <v>226</v>
      </c>
      <c r="B60" s="405"/>
      <c r="C60" s="405"/>
      <c r="D60" s="405"/>
      <c r="E60" s="174">
        <f t="shared" ref="E60:S60" si="10">E59/E67</f>
        <v>0.24866666666666665</v>
      </c>
      <c r="F60" s="174">
        <f t="shared" si="10"/>
        <v>0.24467391304347827</v>
      </c>
      <c r="G60" s="174">
        <f t="shared" si="10"/>
        <v>0.27595300261096606</v>
      </c>
      <c r="H60" s="174">
        <f t="shared" si="10"/>
        <v>0.26332720588235292</v>
      </c>
      <c r="I60" s="174">
        <f t="shared" si="10"/>
        <v>0.30714285714285716</v>
      </c>
      <c r="J60" s="174">
        <f t="shared" si="10"/>
        <v>0.19374999999999998</v>
      </c>
      <c r="K60" s="174">
        <f t="shared" si="10"/>
        <v>0.71928571428571431</v>
      </c>
      <c r="L60" s="174">
        <f t="shared" si="10"/>
        <v>0.3511111111111111</v>
      </c>
      <c r="M60" s="174">
        <f t="shared" si="10"/>
        <v>0.57916666666666672</v>
      </c>
      <c r="N60" s="174">
        <f t="shared" si="10"/>
        <v>0.169875</v>
      </c>
      <c r="O60" s="174">
        <f t="shared" si="10"/>
        <v>0.26761666666666667</v>
      </c>
      <c r="P60" s="174">
        <f t="shared" si="10"/>
        <v>0.16335714285714284</v>
      </c>
      <c r="Q60" s="174">
        <f t="shared" si="10"/>
        <v>0.24880000000000002</v>
      </c>
      <c r="R60" s="174">
        <f t="shared" si="10"/>
        <v>0.37886666666666668</v>
      </c>
      <c r="S60" s="174">
        <f t="shared" si="10"/>
        <v>0.37777777777777777</v>
      </c>
    </row>
    <row r="61" spans="1:19" ht="15" customHeight="1">
      <c r="A61" s="416" t="s">
        <v>237</v>
      </c>
      <c r="B61" s="416"/>
      <c r="C61" s="416"/>
      <c r="D61" s="416"/>
      <c r="E61" s="416"/>
      <c r="F61" s="416"/>
      <c r="G61" s="416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>
      <c r="A62" s="310" t="s">
        <v>224</v>
      </c>
      <c r="B62" s="406" t="s">
        <v>257</v>
      </c>
      <c r="C62" s="406"/>
      <c r="D62" s="310">
        <v>80</v>
      </c>
      <c r="E62" s="310">
        <v>5.95</v>
      </c>
      <c r="F62" s="310">
        <v>6.05</v>
      </c>
      <c r="G62" s="310">
        <v>38.22</v>
      </c>
      <c r="H62" s="310">
        <v>231.11</v>
      </c>
      <c r="I62" s="310">
        <v>0.06</v>
      </c>
      <c r="J62" s="310">
        <v>0.06</v>
      </c>
      <c r="K62" s="310">
        <v>0.02</v>
      </c>
      <c r="L62" s="310">
        <v>0.06</v>
      </c>
      <c r="M62" s="310"/>
      <c r="N62" s="310">
        <v>19.489999999999998</v>
      </c>
      <c r="O62" s="310">
        <v>55.89</v>
      </c>
      <c r="P62" s="310"/>
      <c r="Q62" s="310">
        <v>0</v>
      </c>
      <c r="R62" s="310">
        <v>8.27</v>
      </c>
      <c r="S62" s="310">
        <v>0.7</v>
      </c>
    </row>
    <row r="63" spans="1:19" ht="15" customHeight="1">
      <c r="A63" s="305">
        <v>386</v>
      </c>
      <c r="B63" s="417" t="s">
        <v>258</v>
      </c>
      <c r="C63" s="417"/>
      <c r="D63" s="305">
        <v>200</v>
      </c>
      <c r="E63" s="305">
        <v>5.8</v>
      </c>
      <c r="F63" s="305">
        <v>5</v>
      </c>
      <c r="G63" s="305">
        <v>8</v>
      </c>
      <c r="H63" s="305">
        <v>100.2</v>
      </c>
      <c r="I63" s="305">
        <v>0.04</v>
      </c>
      <c r="J63" s="305">
        <v>0.26</v>
      </c>
      <c r="K63" s="305">
        <v>0.6</v>
      </c>
      <c r="L63" s="305">
        <v>0.04</v>
      </c>
      <c r="M63" s="305">
        <v>1E-3</v>
      </c>
      <c r="N63" s="305">
        <v>240</v>
      </c>
      <c r="O63" s="305">
        <v>184</v>
      </c>
      <c r="P63" s="305">
        <v>0.4</v>
      </c>
      <c r="Q63" s="305">
        <v>1E-3</v>
      </c>
      <c r="R63" s="305">
        <v>28</v>
      </c>
      <c r="S63" s="305">
        <v>0.2</v>
      </c>
    </row>
    <row r="64" spans="1:19" ht="15" customHeight="1">
      <c r="A64" s="413" t="s">
        <v>240</v>
      </c>
      <c r="B64" s="414"/>
      <c r="C64" s="415"/>
      <c r="D64" s="301">
        <f>D63+D62</f>
        <v>280</v>
      </c>
      <c r="E64" s="301">
        <f t="shared" ref="E64:S64" si="11">E63+E62</f>
        <v>11.75</v>
      </c>
      <c r="F64" s="301">
        <f t="shared" si="11"/>
        <v>11.05</v>
      </c>
      <c r="G64" s="301">
        <f t="shared" si="11"/>
        <v>46.22</v>
      </c>
      <c r="H64" s="301">
        <f t="shared" si="11"/>
        <v>331.31</v>
      </c>
      <c r="I64" s="301">
        <f t="shared" si="11"/>
        <v>0.1</v>
      </c>
      <c r="J64" s="301">
        <f t="shared" si="11"/>
        <v>0.32</v>
      </c>
      <c r="K64" s="301">
        <f t="shared" si="11"/>
        <v>0.62</v>
      </c>
      <c r="L64" s="301">
        <f t="shared" si="11"/>
        <v>0.1</v>
      </c>
      <c r="M64" s="301">
        <f t="shared" si="11"/>
        <v>1E-3</v>
      </c>
      <c r="N64" s="301">
        <f t="shared" si="11"/>
        <v>259.49</v>
      </c>
      <c r="O64" s="301">
        <f t="shared" si="11"/>
        <v>239.89</v>
      </c>
      <c r="P64" s="301">
        <f t="shared" si="11"/>
        <v>0.4</v>
      </c>
      <c r="Q64" s="301">
        <f t="shared" si="11"/>
        <v>1E-3</v>
      </c>
      <c r="R64" s="301">
        <f t="shared" si="11"/>
        <v>36.269999999999996</v>
      </c>
      <c r="S64" s="301">
        <f t="shared" si="11"/>
        <v>0.89999999999999991</v>
      </c>
    </row>
    <row r="65" spans="1:19">
      <c r="A65" s="405" t="s">
        <v>226</v>
      </c>
      <c r="B65" s="405"/>
      <c r="C65" s="405"/>
      <c r="D65" s="405"/>
      <c r="E65" s="174">
        <f>E64/E67</f>
        <v>0.13055555555555556</v>
      </c>
      <c r="F65" s="174">
        <f t="shared" ref="F65:S65" si="12">F64/F67</f>
        <v>0.12010869565217393</v>
      </c>
      <c r="G65" s="174">
        <f t="shared" si="12"/>
        <v>0.12067885117493472</v>
      </c>
      <c r="H65" s="174">
        <f t="shared" si="12"/>
        <v>0.12180514705882353</v>
      </c>
      <c r="I65" s="174">
        <f t="shared" si="12"/>
        <v>7.1428571428571438E-2</v>
      </c>
      <c r="J65" s="174">
        <f t="shared" si="12"/>
        <v>0.19999999999999998</v>
      </c>
      <c r="K65" s="174">
        <f t="shared" si="12"/>
        <v>8.8571428571428568E-3</v>
      </c>
      <c r="L65" s="174">
        <f t="shared" si="12"/>
        <v>0.11111111111111112</v>
      </c>
      <c r="M65" s="174">
        <f t="shared" si="12"/>
        <v>8.3333333333333331E-5</v>
      </c>
      <c r="N65" s="174">
        <f t="shared" si="12"/>
        <v>0.21624166666666667</v>
      </c>
      <c r="O65" s="174">
        <f t="shared" si="12"/>
        <v>0.19990833333333333</v>
      </c>
      <c r="P65" s="174">
        <f t="shared" si="12"/>
        <v>2.8571428571428574E-2</v>
      </c>
      <c r="Q65" s="174">
        <f t="shared" si="12"/>
        <v>0.01</v>
      </c>
      <c r="R65" s="174">
        <f t="shared" si="12"/>
        <v>0.12089999999999999</v>
      </c>
      <c r="S65" s="174">
        <f t="shared" si="12"/>
        <v>4.9999999999999996E-2</v>
      </c>
    </row>
    <row r="66" spans="1:19" ht="15" customHeight="1">
      <c r="A66" s="405" t="s">
        <v>241</v>
      </c>
      <c r="B66" s="405"/>
      <c r="C66" s="405"/>
      <c r="D66" s="405"/>
      <c r="E66" s="301">
        <f>E49+E59+E64</f>
        <v>37.17</v>
      </c>
      <c r="F66" s="301">
        <f t="shared" ref="F66:S66" si="13">F49+F59+F64</f>
        <v>33.880000000000003</v>
      </c>
      <c r="G66" s="301">
        <f t="shared" si="13"/>
        <v>171.59</v>
      </c>
      <c r="H66" s="301">
        <f t="shared" si="13"/>
        <v>1141.3599999999999</v>
      </c>
      <c r="I66" s="301">
        <f t="shared" si="13"/>
        <v>0.56999999999999995</v>
      </c>
      <c r="J66" s="301">
        <f t="shared" si="13"/>
        <v>0.64</v>
      </c>
      <c r="K66" s="301">
        <f t="shared" si="13"/>
        <v>51.85</v>
      </c>
      <c r="L66" s="301">
        <f t="shared" si="13"/>
        <v>0.41600000000000004</v>
      </c>
      <c r="M66" s="301">
        <f t="shared" si="13"/>
        <v>7.6510000000000007</v>
      </c>
      <c r="N66" s="301">
        <f t="shared" si="13"/>
        <v>471.34000000000003</v>
      </c>
      <c r="O66" s="301">
        <f t="shared" si="13"/>
        <v>587.03</v>
      </c>
      <c r="P66" s="301">
        <f t="shared" si="13"/>
        <v>2.6949999999999998</v>
      </c>
      <c r="Q66" s="301">
        <f t="shared" si="13"/>
        <v>2.8880000000000003E-2</v>
      </c>
      <c r="R66" s="301">
        <f t="shared" si="13"/>
        <v>149.93</v>
      </c>
      <c r="S66" s="301">
        <f t="shared" si="13"/>
        <v>8.14</v>
      </c>
    </row>
    <row r="67" spans="1:19" ht="15" customHeight="1">
      <c r="A67" s="405" t="s">
        <v>242</v>
      </c>
      <c r="B67" s="405"/>
      <c r="C67" s="405"/>
      <c r="D67" s="405"/>
      <c r="E67" s="310">
        <v>90</v>
      </c>
      <c r="F67" s="310">
        <v>92</v>
      </c>
      <c r="G67" s="310">
        <v>383</v>
      </c>
      <c r="H67" s="310">
        <v>2720</v>
      </c>
      <c r="I67" s="310">
        <v>1.4</v>
      </c>
      <c r="J67" s="310">
        <v>1.6</v>
      </c>
      <c r="K67" s="310">
        <v>70</v>
      </c>
      <c r="L67" s="310">
        <v>0.9</v>
      </c>
      <c r="M67" s="310">
        <v>12</v>
      </c>
      <c r="N67" s="310">
        <v>1200</v>
      </c>
      <c r="O67" s="310">
        <v>1200</v>
      </c>
      <c r="P67" s="310">
        <v>14</v>
      </c>
      <c r="Q67" s="310">
        <v>0.1</v>
      </c>
      <c r="R67" s="310">
        <v>300</v>
      </c>
      <c r="S67" s="310">
        <v>18</v>
      </c>
    </row>
    <row r="68" spans="1:19" ht="15" customHeight="1">
      <c r="A68" s="405" t="s">
        <v>226</v>
      </c>
      <c r="B68" s="405"/>
      <c r="C68" s="405"/>
      <c r="D68" s="405"/>
      <c r="E68" s="174">
        <f>E66/E67</f>
        <v>0.41300000000000003</v>
      </c>
      <c r="F68" s="174">
        <f t="shared" ref="F68:S68" si="14">F66/F67</f>
        <v>0.36826086956521742</v>
      </c>
      <c r="G68" s="174">
        <f t="shared" si="14"/>
        <v>0.44801566579634466</v>
      </c>
      <c r="H68" s="174">
        <f t="shared" si="14"/>
        <v>0.41961764705882348</v>
      </c>
      <c r="I68" s="174">
        <f t="shared" si="14"/>
        <v>0.40714285714285714</v>
      </c>
      <c r="J68" s="174">
        <f t="shared" si="14"/>
        <v>0.39999999999999997</v>
      </c>
      <c r="K68" s="174">
        <f t="shared" si="14"/>
        <v>0.74071428571428577</v>
      </c>
      <c r="L68" s="174">
        <f t="shared" si="14"/>
        <v>0.46222222222222226</v>
      </c>
      <c r="M68" s="174">
        <f t="shared" si="14"/>
        <v>0.63758333333333339</v>
      </c>
      <c r="N68" s="174">
        <f t="shared" si="14"/>
        <v>0.39278333333333337</v>
      </c>
      <c r="O68" s="174">
        <f t="shared" si="14"/>
        <v>0.48919166666666664</v>
      </c>
      <c r="P68" s="174">
        <f t="shared" si="14"/>
        <v>0.19249999999999998</v>
      </c>
      <c r="Q68" s="174">
        <f t="shared" si="14"/>
        <v>0.2888</v>
      </c>
      <c r="R68" s="174">
        <f t="shared" si="14"/>
        <v>0.49976666666666669</v>
      </c>
      <c r="S68" s="174">
        <f t="shared" si="14"/>
        <v>0.45222222222222225</v>
      </c>
    </row>
    <row r="69" spans="1:19" ht="15" customHeight="1">
      <c r="A69" s="402" t="s">
        <v>226</v>
      </c>
      <c r="B69" s="403"/>
      <c r="C69" s="403"/>
      <c r="D69" s="404"/>
      <c r="E69" s="174">
        <v>0.62788888888888894</v>
      </c>
      <c r="F69" s="174">
        <v>0.5895652173913043</v>
      </c>
      <c r="G69" s="174">
        <v>0.64279373368146209</v>
      </c>
      <c r="H69" s="174">
        <v>0.62573897058823524</v>
      </c>
      <c r="I69" s="174">
        <v>0.52785714285714291</v>
      </c>
      <c r="J69" s="174">
        <v>0.59374999999999989</v>
      </c>
      <c r="K69" s="174">
        <v>0.81642857142857139</v>
      </c>
      <c r="L69" s="174">
        <v>0.64333333333333331</v>
      </c>
      <c r="M69" s="174">
        <v>0.64508333333333334</v>
      </c>
      <c r="N69" s="174">
        <v>0.54044999999999999</v>
      </c>
      <c r="O69" s="174">
        <v>0.65410833333333329</v>
      </c>
      <c r="P69" s="174">
        <v>0.27564285714285713</v>
      </c>
      <c r="Q69" s="174">
        <v>0.41080000000000005</v>
      </c>
      <c r="R69" s="174">
        <v>0.75910000000000011</v>
      </c>
      <c r="S69" s="174">
        <v>0.57444444444444442</v>
      </c>
    </row>
    <row r="71" spans="1:19">
      <c r="A71" s="240"/>
      <c r="B71" s="239"/>
      <c r="C71" s="253"/>
      <c r="D71" s="253"/>
      <c r="E71" s="253"/>
      <c r="F71" s="253"/>
      <c r="G71" s="253"/>
      <c r="H71" s="253"/>
      <c r="I71" s="253"/>
      <c r="J71" s="253"/>
      <c r="K71" s="253"/>
      <c r="L71" s="419" t="s">
        <v>187</v>
      </c>
      <c r="M71" s="419"/>
      <c r="N71" s="419"/>
      <c r="O71" s="419"/>
      <c r="P71" s="419"/>
      <c r="Q71" s="419"/>
      <c r="R71" s="419"/>
      <c r="S71" s="419"/>
    </row>
    <row r="72" spans="1:19">
      <c r="A72" s="416" t="s">
        <v>260</v>
      </c>
      <c r="B72" s="416"/>
      <c r="C72" s="416"/>
      <c r="D72" s="416"/>
      <c r="E72" s="416"/>
      <c r="F72" s="416"/>
      <c r="G72" s="416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>
      <c r="A73" s="405" t="s">
        <v>261</v>
      </c>
      <c r="B73" s="405"/>
      <c r="C73" s="253"/>
      <c r="D73" s="253"/>
      <c r="E73" s="253"/>
      <c r="F73" s="445" t="s">
        <v>262</v>
      </c>
      <c r="G73" s="445"/>
      <c r="H73" s="445"/>
      <c r="I73" s="253"/>
      <c r="J73" s="253"/>
      <c r="K73" s="405" t="s">
        <v>191</v>
      </c>
      <c r="L73" s="405"/>
      <c r="M73" s="419" t="s">
        <v>192</v>
      </c>
      <c r="N73" s="419"/>
      <c r="O73" s="419"/>
      <c r="P73" s="419"/>
      <c r="Q73" s="253"/>
      <c r="R73" s="253"/>
      <c r="S73" s="253"/>
    </row>
    <row r="74" spans="1:19">
      <c r="A74" s="253"/>
      <c r="B74" s="253"/>
      <c r="C74" s="253"/>
      <c r="D74" s="416" t="s">
        <v>194</v>
      </c>
      <c r="E74" s="416"/>
      <c r="F74" s="253">
        <v>1</v>
      </c>
      <c r="G74" s="253"/>
      <c r="H74" s="253"/>
      <c r="I74" s="253"/>
      <c r="J74" s="253"/>
      <c r="K74" s="405" t="s">
        <v>195</v>
      </c>
      <c r="L74" s="405"/>
      <c r="M74" s="419" t="s">
        <v>347</v>
      </c>
      <c r="N74" s="419"/>
      <c r="O74" s="419"/>
      <c r="P74" s="419"/>
      <c r="Q74" s="419"/>
      <c r="R74" s="419"/>
      <c r="S74" s="419"/>
    </row>
    <row r="75" spans="1:19">
      <c r="A75" s="256" t="s">
        <v>0</v>
      </c>
      <c r="B75" s="444" t="s">
        <v>198</v>
      </c>
      <c r="C75" s="444"/>
      <c r="D75" s="444" t="s">
        <v>199</v>
      </c>
      <c r="E75" s="444" t="s">
        <v>200</v>
      </c>
      <c r="F75" s="444"/>
      <c r="G75" s="444"/>
      <c r="H75" s="256" t="s">
        <v>201</v>
      </c>
      <c r="I75" s="444" t="s">
        <v>202</v>
      </c>
      <c r="J75" s="444"/>
      <c r="K75" s="444"/>
      <c r="L75" s="444"/>
      <c r="M75" s="444"/>
      <c r="N75" s="444" t="s">
        <v>203</v>
      </c>
      <c r="O75" s="444"/>
      <c r="P75" s="444"/>
      <c r="Q75" s="444"/>
      <c r="R75" s="444"/>
      <c r="S75" s="444"/>
    </row>
    <row r="76" spans="1:19" ht="38.25">
      <c r="A76" s="256" t="s">
        <v>245</v>
      </c>
      <c r="B76" s="444"/>
      <c r="C76" s="444"/>
      <c r="D76" s="444"/>
      <c r="E76" s="256" t="s">
        <v>204</v>
      </c>
      <c r="F76" s="256" t="s">
        <v>205</v>
      </c>
      <c r="G76" s="256" t="s">
        <v>206</v>
      </c>
      <c r="H76" s="256" t="s">
        <v>207</v>
      </c>
      <c r="I76" s="256" t="s">
        <v>208</v>
      </c>
      <c r="J76" s="256" t="s">
        <v>209</v>
      </c>
      <c r="K76" s="256" t="s">
        <v>210</v>
      </c>
      <c r="L76" s="256" t="s">
        <v>211</v>
      </c>
      <c r="M76" s="256" t="s">
        <v>212</v>
      </c>
      <c r="N76" s="256" t="s">
        <v>213</v>
      </c>
      <c r="O76" s="256" t="s">
        <v>214</v>
      </c>
      <c r="P76" s="256" t="s">
        <v>215</v>
      </c>
      <c r="Q76" s="256" t="s">
        <v>216</v>
      </c>
      <c r="R76" s="256" t="s">
        <v>217</v>
      </c>
      <c r="S76" s="256" t="s">
        <v>218</v>
      </c>
    </row>
    <row r="77" spans="1:19">
      <c r="A77" s="254">
        <v>1</v>
      </c>
      <c r="B77" s="418">
        <v>2</v>
      </c>
      <c r="C77" s="418"/>
      <c r="D77" s="254">
        <v>3</v>
      </c>
      <c r="E77" s="254">
        <v>4</v>
      </c>
      <c r="F77" s="254">
        <v>5</v>
      </c>
      <c r="G77" s="254">
        <v>6</v>
      </c>
      <c r="H77" s="254">
        <v>7</v>
      </c>
      <c r="I77" s="254">
        <v>8</v>
      </c>
      <c r="J77" s="254">
        <v>9</v>
      </c>
      <c r="K77" s="254">
        <v>10</v>
      </c>
      <c r="L77" s="254">
        <v>11</v>
      </c>
      <c r="M77" s="254">
        <v>12</v>
      </c>
      <c r="N77" s="254">
        <v>13</v>
      </c>
      <c r="O77" s="254">
        <v>14</v>
      </c>
      <c r="P77" s="254">
        <v>15</v>
      </c>
      <c r="Q77" s="254">
        <v>16</v>
      </c>
      <c r="R77" s="254">
        <v>17</v>
      </c>
      <c r="S77" s="254">
        <v>18</v>
      </c>
    </row>
    <row r="78" spans="1:19">
      <c r="A78" s="416" t="s">
        <v>219</v>
      </c>
      <c r="B78" s="416"/>
      <c r="C78" s="416"/>
      <c r="D78" s="416"/>
      <c r="E78" s="416"/>
      <c r="F78" s="416"/>
      <c r="G78" s="416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>
      <c r="A79" s="253">
        <v>59</v>
      </c>
      <c r="B79" s="446" t="s">
        <v>263</v>
      </c>
      <c r="C79" s="446"/>
      <c r="D79" s="253">
        <v>100</v>
      </c>
      <c r="E79" s="253">
        <v>1.06</v>
      </c>
      <c r="F79" s="253">
        <v>0.17</v>
      </c>
      <c r="G79" s="253">
        <v>8.52</v>
      </c>
      <c r="H79" s="253">
        <v>39.9</v>
      </c>
      <c r="I79" s="253">
        <v>0.05</v>
      </c>
      <c r="J79" s="253">
        <v>0.02</v>
      </c>
      <c r="K79" s="253">
        <v>4.38</v>
      </c>
      <c r="L79" s="253">
        <v>0.02</v>
      </c>
      <c r="M79" s="253">
        <v>2.4900000000000002</v>
      </c>
      <c r="N79" s="253">
        <v>24</v>
      </c>
      <c r="O79" s="253">
        <v>33.979999999999997</v>
      </c>
      <c r="P79" s="253">
        <v>0.13</v>
      </c>
      <c r="Q79" s="253">
        <v>1E-3</v>
      </c>
      <c r="R79" s="253">
        <v>6.6</v>
      </c>
      <c r="S79" s="253">
        <v>1.07</v>
      </c>
    </row>
    <row r="80" spans="1:19">
      <c r="A80" s="248" t="s">
        <v>355</v>
      </c>
      <c r="B80" s="417" t="s">
        <v>363</v>
      </c>
      <c r="C80" s="417"/>
      <c r="D80" s="248">
        <v>100</v>
      </c>
      <c r="E80" s="248">
        <v>1.5</v>
      </c>
      <c r="F80" s="248">
        <v>0.5</v>
      </c>
      <c r="G80" s="248">
        <v>21</v>
      </c>
      <c r="H80" s="248">
        <v>96</v>
      </c>
      <c r="I80" s="248">
        <v>0.04</v>
      </c>
      <c r="J80" s="248"/>
      <c r="K80" s="248">
        <v>10</v>
      </c>
      <c r="L80" s="248"/>
      <c r="M80" s="248">
        <v>0.4</v>
      </c>
      <c r="N80" s="248">
        <v>8</v>
      </c>
      <c r="O80" s="248">
        <v>28</v>
      </c>
      <c r="P80" s="248"/>
      <c r="Q80" s="248"/>
      <c r="R80" s="248">
        <v>42</v>
      </c>
      <c r="S80" s="248">
        <v>0.5</v>
      </c>
    </row>
    <row r="81" spans="1:19">
      <c r="A81" s="181" t="s">
        <v>264</v>
      </c>
      <c r="B81" s="427" t="s">
        <v>265</v>
      </c>
      <c r="C81" s="427"/>
      <c r="D81" s="248">
        <v>30</v>
      </c>
      <c r="E81" s="248">
        <v>0.15</v>
      </c>
      <c r="F81" s="248">
        <v>0</v>
      </c>
      <c r="G81" s="248">
        <v>17.850000000000001</v>
      </c>
      <c r="H81" s="248">
        <v>71.7</v>
      </c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</row>
    <row r="82" spans="1:19">
      <c r="A82" s="248" t="s">
        <v>266</v>
      </c>
      <c r="B82" s="417" t="s">
        <v>137</v>
      </c>
      <c r="C82" s="417"/>
      <c r="D82" s="253">
        <v>200</v>
      </c>
      <c r="E82" s="253">
        <v>34.14</v>
      </c>
      <c r="F82" s="253">
        <v>21.46</v>
      </c>
      <c r="G82" s="253">
        <v>33.340000000000003</v>
      </c>
      <c r="H82" s="253">
        <v>463.74</v>
      </c>
      <c r="I82" s="253">
        <v>0.08</v>
      </c>
      <c r="J82" s="253">
        <v>0.42</v>
      </c>
      <c r="K82" s="253">
        <v>0.38</v>
      </c>
      <c r="L82" s="253">
        <v>0.08</v>
      </c>
      <c r="M82" s="253"/>
      <c r="N82" s="253">
        <v>282.66000000000003</v>
      </c>
      <c r="O82" s="253">
        <v>386.66</v>
      </c>
      <c r="P82" s="253"/>
      <c r="Q82" s="253">
        <v>0.04</v>
      </c>
      <c r="R82" s="253">
        <v>42.66</v>
      </c>
      <c r="S82" s="253">
        <v>1.2</v>
      </c>
    </row>
    <row r="83" spans="1:19">
      <c r="A83" s="253">
        <v>376</v>
      </c>
      <c r="B83" s="406" t="s">
        <v>141</v>
      </c>
      <c r="C83" s="406"/>
      <c r="D83" s="253">
        <v>200</v>
      </c>
      <c r="E83" s="253">
        <v>0.2</v>
      </c>
      <c r="F83" s="253">
        <v>0.05</v>
      </c>
      <c r="G83" s="253">
        <v>15.01</v>
      </c>
      <c r="H83" s="253">
        <v>61</v>
      </c>
      <c r="I83" s="253">
        <v>0</v>
      </c>
      <c r="J83" s="253">
        <v>0.01</v>
      </c>
      <c r="K83" s="253">
        <v>9</v>
      </c>
      <c r="L83" s="253">
        <v>1E-4</v>
      </c>
      <c r="M83" s="253">
        <v>4.4999999999999998E-2</v>
      </c>
      <c r="N83" s="253">
        <v>5.25</v>
      </c>
      <c r="O83" s="253">
        <v>8.24</v>
      </c>
      <c r="P83" s="253">
        <v>8.0000000000000002E-3</v>
      </c>
      <c r="Q83" s="253">
        <v>0</v>
      </c>
      <c r="R83" s="253">
        <v>4.4000000000000004</v>
      </c>
      <c r="S83" s="253">
        <v>0.87</v>
      </c>
    </row>
    <row r="84" spans="1:19">
      <c r="A84" s="253" t="s">
        <v>224</v>
      </c>
      <c r="B84" s="406" t="s">
        <v>302</v>
      </c>
      <c r="C84" s="406"/>
      <c r="D84" s="253">
        <v>40</v>
      </c>
      <c r="E84" s="253">
        <v>2.67</v>
      </c>
      <c r="F84" s="253">
        <v>0.53</v>
      </c>
      <c r="G84" s="253">
        <v>13.73</v>
      </c>
      <c r="H84" s="253">
        <v>70.400000000000006</v>
      </c>
      <c r="I84" s="253">
        <v>0.13</v>
      </c>
      <c r="J84" s="253">
        <v>1.2999999999999999E-2</v>
      </c>
      <c r="K84" s="253">
        <v>0.1</v>
      </c>
      <c r="L84" s="253">
        <v>0</v>
      </c>
      <c r="M84" s="253">
        <v>0.93</v>
      </c>
      <c r="N84" s="253">
        <v>14</v>
      </c>
      <c r="O84" s="253">
        <v>63.2</v>
      </c>
      <c r="P84" s="253">
        <v>1.2999999999999999E-2</v>
      </c>
      <c r="Q84" s="253">
        <v>1.2999999999999999E-2</v>
      </c>
      <c r="R84" s="253">
        <v>18.8</v>
      </c>
      <c r="S84" s="253">
        <v>1.6</v>
      </c>
    </row>
    <row r="85" spans="1:19">
      <c r="A85" s="405" t="s">
        <v>225</v>
      </c>
      <c r="B85" s="405"/>
      <c r="C85" s="405"/>
      <c r="D85" s="250">
        <f>D79+D81+D82+D83+D84</f>
        <v>570</v>
      </c>
      <c r="E85" s="250">
        <f t="shared" ref="E85:S85" si="15">E79+E81+E82+E83+E84</f>
        <v>38.220000000000006</v>
      </c>
      <c r="F85" s="250">
        <f t="shared" si="15"/>
        <v>22.210000000000004</v>
      </c>
      <c r="G85" s="250">
        <f t="shared" si="15"/>
        <v>88.450000000000017</v>
      </c>
      <c r="H85" s="250">
        <f t="shared" si="15"/>
        <v>706.74</v>
      </c>
      <c r="I85" s="250">
        <f t="shared" si="15"/>
        <v>0.26</v>
      </c>
      <c r="J85" s="250">
        <f t="shared" si="15"/>
        <v>0.46300000000000002</v>
      </c>
      <c r="K85" s="250">
        <f t="shared" si="15"/>
        <v>13.86</v>
      </c>
      <c r="L85" s="250">
        <f t="shared" si="15"/>
        <v>0.10010000000000001</v>
      </c>
      <c r="M85" s="250">
        <f t="shared" si="15"/>
        <v>3.4650000000000003</v>
      </c>
      <c r="N85" s="250">
        <f t="shared" si="15"/>
        <v>325.91000000000003</v>
      </c>
      <c r="O85" s="250">
        <f t="shared" si="15"/>
        <v>492.08000000000004</v>
      </c>
      <c r="P85" s="250">
        <f t="shared" si="15"/>
        <v>0.15100000000000002</v>
      </c>
      <c r="Q85" s="250">
        <f t="shared" si="15"/>
        <v>5.3999999999999999E-2</v>
      </c>
      <c r="R85" s="250">
        <f t="shared" si="15"/>
        <v>72.459999999999994</v>
      </c>
      <c r="S85" s="250">
        <f t="shared" si="15"/>
        <v>4.74</v>
      </c>
    </row>
    <row r="86" spans="1:19">
      <c r="A86" s="405" t="s">
        <v>226</v>
      </c>
      <c r="B86" s="405"/>
      <c r="C86" s="405"/>
      <c r="D86" s="405"/>
      <c r="E86" s="174">
        <f>E85/E103</f>
        <v>0.42466666666666675</v>
      </c>
      <c r="F86" s="174">
        <v>0.19209999999999999</v>
      </c>
      <c r="G86" s="174">
        <v>0.23139999999999999</v>
      </c>
      <c r="H86" s="174">
        <v>0.2205</v>
      </c>
      <c r="I86" s="174">
        <v>0.35949999999999999</v>
      </c>
      <c r="J86" s="174">
        <v>0.33329999999999999</v>
      </c>
      <c r="K86" s="174">
        <v>0.2445</v>
      </c>
      <c r="L86" s="174">
        <v>0.38900000000000001</v>
      </c>
      <c r="M86" s="174">
        <v>0.4299</v>
      </c>
      <c r="N86" s="174">
        <v>0.251</v>
      </c>
      <c r="O86" s="174">
        <v>0.49669999999999997</v>
      </c>
      <c r="P86" s="174">
        <v>9.7199999999999995E-2</v>
      </c>
      <c r="Q86" s="174">
        <v>0.35</v>
      </c>
      <c r="R86" s="174">
        <v>0.47049999999999997</v>
      </c>
      <c r="S86" s="174">
        <v>0.36899999999999999</v>
      </c>
    </row>
    <row r="87" spans="1:19">
      <c r="A87" s="416" t="s">
        <v>227</v>
      </c>
      <c r="B87" s="416"/>
      <c r="C87" s="416"/>
      <c r="D87" s="416"/>
      <c r="E87" s="416"/>
      <c r="F87" s="416"/>
      <c r="G87" s="416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ht="24" customHeight="1">
      <c r="A88" s="248" t="s">
        <v>268</v>
      </c>
      <c r="B88" s="417" t="s">
        <v>269</v>
      </c>
      <c r="C88" s="417"/>
      <c r="D88" s="253">
        <v>100</v>
      </c>
      <c r="E88" s="253">
        <v>0.83</v>
      </c>
      <c r="F88" s="253">
        <v>5.03</v>
      </c>
      <c r="G88" s="253">
        <v>1.84</v>
      </c>
      <c r="H88" s="253">
        <v>56</v>
      </c>
      <c r="I88" s="253">
        <v>0.15</v>
      </c>
      <c r="J88" s="253">
        <v>0.03</v>
      </c>
      <c r="K88" s="253">
        <v>7.08</v>
      </c>
      <c r="L88" s="253">
        <v>0.15</v>
      </c>
      <c r="M88" s="253"/>
      <c r="N88" s="253">
        <v>33.96</v>
      </c>
      <c r="O88" s="253">
        <v>23.22</v>
      </c>
      <c r="P88" s="253"/>
      <c r="Q88" s="253">
        <v>0</v>
      </c>
      <c r="R88" s="253">
        <v>13.92</v>
      </c>
      <c r="S88" s="253">
        <v>0.64</v>
      </c>
    </row>
    <row r="89" spans="1:19">
      <c r="A89" s="253">
        <v>24</v>
      </c>
      <c r="B89" s="406" t="s">
        <v>270</v>
      </c>
      <c r="C89" s="406"/>
      <c r="D89" s="253">
        <v>100</v>
      </c>
      <c r="E89" s="253">
        <v>0.5</v>
      </c>
      <c r="F89" s="253">
        <v>3.33</v>
      </c>
      <c r="G89" s="253">
        <v>2.67</v>
      </c>
      <c r="H89" s="253">
        <v>42.67</v>
      </c>
      <c r="I89" s="253">
        <v>0.1</v>
      </c>
      <c r="J89" s="253">
        <v>7.0000000000000007E-2</v>
      </c>
      <c r="K89" s="253">
        <v>20.67</v>
      </c>
      <c r="L89" s="253">
        <v>2E-3</v>
      </c>
      <c r="M89" s="253">
        <v>2.5</v>
      </c>
      <c r="N89" s="253">
        <v>47</v>
      </c>
      <c r="O89" s="253">
        <v>53.83</v>
      </c>
      <c r="P89" s="253">
        <v>0.5</v>
      </c>
      <c r="Q89" s="253">
        <v>3.0000000000000001E-3</v>
      </c>
      <c r="R89" s="253">
        <v>31</v>
      </c>
      <c r="S89" s="253">
        <v>0.83</v>
      </c>
    </row>
    <row r="90" spans="1:19" ht="23.25" customHeight="1">
      <c r="A90" s="248">
        <v>110</v>
      </c>
      <c r="B90" s="417" t="s">
        <v>271</v>
      </c>
      <c r="C90" s="417"/>
      <c r="D90" s="253">
        <v>250</v>
      </c>
      <c r="E90" s="253">
        <v>1.6</v>
      </c>
      <c r="F90" s="253">
        <v>4.8</v>
      </c>
      <c r="G90" s="253">
        <v>11.23</v>
      </c>
      <c r="H90" s="253">
        <v>93.75</v>
      </c>
      <c r="I90" s="253">
        <v>0.05</v>
      </c>
      <c r="J90" s="253">
        <v>0.05</v>
      </c>
      <c r="K90" s="253">
        <v>7.63</v>
      </c>
      <c r="L90" s="253">
        <v>0.05</v>
      </c>
      <c r="M90" s="253"/>
      <c r="N90" s="253">
        <v>27.83</v>
      </c>
      <c r="O90" s="253">
        <v>0</v>
      </c>
      <c r="P90" s="253"/>
      <c r="Q90" s="253">
        <v>0</v>
      </c>
      <c r="R90" s="253">
        <v>19.48</v>
      </c>
      <c r="S90" s="253">
        <v>0.9</v>
      </c>
    </row>
    <row r="91" spans="1:19">
      <c r="A91" s="248">
        <v>291</v>
      </c>
      <c r="B91" s="417" t="s">
        <v>272</v>
      </c>
      <c r="C91" s="417"/>
      <c r="D91" s="248">
        <v>240</v>
      </c>
      <c r="E91" s="248">
        <v>22.36</v>
      </c>
      <c r="F91" s="248">
        <v>26.14</v>
      </c>
      <c r="G91" s="248">
        <v>47.23</v>
      </c>
      <c r="H91" s="248">
        <v>513.6</v>
      </c>
      <c r="I91" s="248">
        <v>0.82</v>
      </c>
      <c r="J91" s="248">
        <v>0.79</v>
      </c>
      <c r="K91" s="248">
        <v>4.3</v>
      </c>
      <c r="L91" s="248">
        <v>0.46</v>
      </c>
      <c r="M91" s="248">
        <v>0</v>
      </c>
      <c r="N91" s="248">
        <v>44.29</v>
      </c>
      <c r="O91" s="248">
        <v>301.66000000000003</v>
      </c>
      <c r="P91" s="248">
        <v>0</v>
      </c>
      <c r="Q91" s="248">
        <v>0</v>
      </c>
      <c r="R91" s="248">
        <v>64.39</v>
      </c>
      <c r="S91" s="248">
        <v>2.77</v>
      </c>
    </row>
    <row r="92" spans="1:19">
      <c r="A92" s="253">
        <v>342</v>
      </c>
      <c r="B92" s="406" t="s">
        <v>273</v>
      </c>
      <c r="C92" s="406"/>
      <c r="D92" s="253">
        <v>200</v>
      </c>
      <c r="E92" s="253">
        <v>0.16</v>
      </c>
      <c r="F92" s="253">
        <v>0.16</v>
      </c>
      <c r="G92" s="253">
        <v>27.9</v>
      </c>
      <c r="H92" s="253">
        <v>114</v>
      </c>
      <c r="I92" s="253">
        <v>0.01</v>
      </c>
      <c r="J92" s="253">
        <v>0.01</v>
      </c>
      <c r="K92" s="253">
        <v>6.6</v>
      </c>
      <c r="L92" s="253">
        <v>0.01</v>
      </c>
      <c r="M92" s="253">
        <v>0.4</v>
      </c>
      <c r="N92" s="253">
        <v>6.88</v>
      </c>
      <c r="O92" s="253">
        <v>4.4000000000000004</v>
      </c>
      <c r="P92" s="253">
        <v>0.08</v>
      </c>
      <c r="Q92" s="253">
        <v>0.01</v>
      </c>
      <c r="R92" s="253">
        <v>3.6</v>
      </c>
      <c r="S92" s="253">
        <v>0.95</v>
      </c>
    </row>
    <row r="93" spans="1:19">
      <c r="A93" s="253" t="s">
        <v>224</v>
      </c>
      <c r="B93" s="406" t="s">
        <v>235</v>
      </c>
      <c r="C93" s="406"/>
      <c r="D93" s="253">
        <v>40</v>
      </c>
      <c r="E93" s="253">
        <v>2.64</v>
      </c>
      <c r="F93" s="253">
        <v>0.48</v>
      </c>
      <c r="G93" s="253">
        <v>13.68</v>
      </c>
      <c r="H93" s="253">
        <v>69.599999999999994</v>
      </c>
      <c r="I93" s="253">
        <v>0.08</v>
      </c>
      <c r="J93" s="253">
        <v>0.04</v>
      </c>
      <c r="K93" s="253">
        <v>0</v>
      </c>
      <c r="L93" s="253">
        <v>0</v>
      </c>
      <c r="M93" s="253">
        <v>2.4</v>
      </c>
      <c r="N93" s="253">
        <v>14</v>
      </c>
      <c r="O93" s="253">
        <v>63.2</v>
      </c>
      <c r="P93" s="253">
        <v>1.2</v>
      </c>
      <c r="Q93" s="253">
        <v>1E-3</v>
      </c>
      <c r="R93" s="253">
        <v>9.4</v>
      </c>
      <c r="S93" s="253">
        <v>0.78</v>
      </c>
    </row>
    <row r="94" spans="1:19">
      <c r="A94" s="253" t="s">
        <v>224</v>
      </c>
      <c r="B94" s="406" t="s">
        <v>117</v>
      </c>
      <c r="C94" s="406"/>
      <c r="D94" s="253">
        <v>30</v>
      </c>
      <c r="E94" s="253">
        <v>1.52</v>
      </c>
      <c r="F94" s="253">
        <v>0.16</v>
      </c>
      <c r="G94" s="253">
        <v>9.84</v>
      </c>
      <c r="H94" s="253">
        <v>46.9</v>
      </c>
      <c r="I94" s="253">
        <v>0.02</v>
      </c>
      <c r="J94" s="253">
        <v>0.01</v>
      </c>
      <c r="K94" s="253">
        <v>0.44</v>
      </c>
      <c r="L94" s="253">
        <v>0</v>
      </c>
      <c r="M94" s="253">
        <v>0.7</v>
      </c>
      <c r="N94" s="253">
        <v>4</v>
      </c>
      <c r="O94" s="253">
        <v>13</v>
      </c>
      <c r="P94" s="253">
        <v>8.0000000000000002E-3</v>
      </c>
      <c r="Q94" s="253">
        <v>1E-3</v>
      </c>
      <c r="R94" s="253">
        <v>0</v>
      </c>
      <c r="S94" s="253">
        <v>0.22</v>
      </c>
    </row>
    <row r="95" spans="1:19">
      <c r="A95" s="405" t="s">
        <v>236</v>
      </c>
      <c r="B95" s="405"/>
      <c r="C95" s="405"/>
      <c r="D95" s="250">
        <f>SUM(D89:D94)</f>
        <v>860</v>
      </c>
      <c r="E95" s="250">
        <f t="shared" ref="E95:S95" si="16">SUM(E89:E94)</f>
        <v>28.78</v>
      </c>
      <c r="F95" s="250">
        <f t="shared" si="16"/>
        <v>35.069999999999986</v>
      </c>
      <c r="G95" s="250">
        <f t="shared" si="16"/>
        <v>112.55000000000001</v>
      </c>
      <c r="H95" s="250">
        <f t="shared" si="16"/>
        <v>880.52</v>
      </c>
      <c r="I95" s="250">
        <f t="shared" si="16"/>
        <v>1.08</v>
      </c>
      <c r="J95" s="250">
        <f t="shared" si="16"/>
        <v>0.97000000000000008</v>
      </c>
      <c r="K95" s="250">
        <f t="shared" si="16"/>
        <v>39.64</v>
      </c>
      <c r="L95" s="250">
        <f t="shared" si="16"/>
        <v>0.52200000000000002</v>
      </c>
      <c r="M95" s="250">
        <f t="shared" si="16"/>
        <v>6</v>
      </c>
      <c r="N95" s="250">
        <f t="shared" si="16"/>
        <v>144</v>
      </c>
      <c r="O95" s="250">
        <f t="shared" si="16"/>
        <v>436.09</v>
      </c>
      <c r="P95" s="250">
        <f t="shared" si="16"/>
        <v>1.7879999999999998</v>
      </c>
      <c r="Q95" s="250">
        <f t="shared" si="16"/>
        <v>1.5000000000000003E-2</v>
      </c>
      <c r="R95" s="250">
        <f t="shared" si="16"/>
        <v>127.87</v>
      </c>
      <c r="S95" s="250">
        <f t="shared" si="16"/>
        <v>6.45</v>
      </c>
    </row>
    <row r="96" spans="1:19">
      <c r="A96" s="405" t="s">
        <v>226</v>
      </c>
      <c r="B96" s="405"/>
      <c r="C96" s="405"/>
      <c r="D96" s="405"/>
      <c r="E96" s="174">
        <f>E95/E103</f>
        <v>0.31977777777777777</v>
      </c>
      <c r="F96" s="174">
        <f t="shared" ref="F96:S96" si="17">F95/F103</f>
        <v>0.38119565217391288</v>
      </c>
      <c r="G96" s="174">
        <f t="shared" si="17"/>
        <v>0.29386422976501309</v>
      </c>
      <c r="H96" s="174">
        <f t="shared" si="17"/>
        <v>0.32372058823529409</v>
      </c>
      <c r="I96" s="174">
        <f t="shared" si="17"/>
        <v>0.77142857142857157</v>
      </c>
      <c r="J96" s="174">
        <f t="shared" si="17"/>
        <v>0.60625000000000007</v>
      </c>
      <c r="K96" s="174">
        <f t="shared" si="17"/>
        <v>0.56628571428571428</v>
      </c>
      <c r="L96" s="174">
        <f t="shared" si="17"/>
        <v>0.57999999999999996</v>
      </c>
      <c r="M96" s="174">
        <f t="shared" si="17"/>
        <v>0.5</v>
      </c>
      <c r="N96" s="174">
        <f t="shared" si="17"/>
        <v>0.12</v>
      </c>
      <c r="O96" s="174">
        <f t="shared" si="17"/>
        <v>0.36340833333333333</v>
      </c>
      <c r="P96" s="174">
        <f t="shared" si="17"/>
        <v>0.1277142857142857</v>
      </c>
      <c r="Q96" s="174">
        <f t="shared" si="17"/>
        <v>0.15000000000000002</v>
      </c>
      <c r="R96" s="174">
        <f t="shared" si="17"/>
        <v>0.42623333333333335</v>
      </c>
      <c r="S96" s="174">
        <f t="shared" si="17"/>
        <v>0.35833333333333334</v>
      </c>
    </row>
    <row r="97" spans="1:19">
      <c r="A97" s="416" t="s">
        <v>237</v>
      </c>
      <c r="B97" s="416"/>
      <c r="C97" s="416"/>
      <c r="D97" s="416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>
      <c r="A98" s="253" t="s">
        <v>224</v>
      </c>
      <c r="B98" s="406" t="s">
        <v>274</v>
      </c>
      <c r="C98" s="406"/>
      <c r="D98" s="253">
        <v>100</v>
      </c>
      <c r="E98" s="253">
        <v>13.08</v>
      </c>
      <c r="F98" s="253">
        <v>6.06</v>
      </c>
      <c r="G98" s="253">
        <v>49.58</v>
      </c>
      <c r="H98" s="253">
        <v>306</v>
      </c>
      <c r="I98" s="253">
        <v>0.14000000000000001</v>
      </c>
      <c r="J98" s="253">
        <v>0.18</v>
      </c>
      <c r="K98" s="253">
        <v>0.18</v>
      </c>
      <c r="L98" s="253">
        <v>0.14000000000000001</v>
      </c>
      <c r="M98" s="253"/>
      <c r="N98" s="253">
        <v>75.8</v>
      </c>
      <c r="O98" s="253">
        <v>140</v>
      </c>
      <c r="P98" s="253"/>
      <c r="Q98" s="253">
        <v>0</v>
      </c>
      <c r="R98" s="253">
        <v>34.6</v>
      </c>
      <c r="S98" s="253">
        <v>1.52</v>
      </c>
    </row>
    <row r="99" spans="1:19">
      <c r="A99" s="248">
        <v>377</v>
      </c>
      <c r="B99" s="417" t="s">
        <v>149</v>
      </c>
      <c r="C99" s="417"/>
      <c r="D99" s="248" t="s">
        <v>234</v>
      </c>
      <c r="E99" s="248">
        <v>0.26</v>
      </c>
      <c r="F99" s="248">
        <v>0.06</v>
      </c>
      <c r="G99" s="248">
        <v>15.22</v>
      </c>
      <c r="H99" s="248">
        <v>62.5</v>
      </c>
      <c r="I99" s="248"/>
      <c r="J99" s="248">
        <v>0.01</v>
      </c>
      <c r="K99" s="248">
        <v>2.9</v>
      </c>
      <c r="L99" s="248">
        <v>0</v>
      </c>
      <c r="M99" s="248">
        <v>0.06</v>
      </c>
      <c r="N99" s="248">
        <v>8.0500000000000007</v>
      </c>
      <c r="O99" s="248">
        <v>9.7799999999999994</v>
      </c>
      <c r="P99" s="248">
        <v>0.02</v>
      </c>
      <c r="Q99" s="248">
        <v>0</v>
      </c>
      <c r="R99" s="248">
        <v>5.24</v>
      </c>
      <c r="S99" s="248">
        <v>0.87</v>
      </c>
    </row>
    <row r="100" spans="1:19">
      <c r="A100" s="178" t="s">
        <v>240</v>
      </c>
      <c r="B100" s="184"/>
      <c r="C100" s="179"/>
      <c r="D100" s="250">
        <f>D98+204</f>
        <v>304</v>
      </c>
      <c r="E100" s="250">
        <f>E98+E99</f>
        <v>13.34</v>
      </c>
      <c r="F100" s="250">
        <f t="shared" ref="F100:S100" si="18">F98+F99</f>
        <v>6.1199999999999992</v>
      </c>
      <c r="G100" s="250">
        <f t="shared" si="18"/>
        <v>64.8</v>
      </c>
      <c r="H100" s="250">
        <f t="shared" si="18"/>
        <v>368.5</v>
      </c>
      <c r="I100" s="250">
        <f t="shared" si="18"/>
        <v>0.14000000000000001</v>
      </c>
      <c r="J100" s="250">
        <f t="shared" si="18"/>
        <v>0.19</v>
      </c>
      <c r="K100" s="250">
        <f t="shared" si="18"/>
        <v>3.08</v>
      </c>
      <c r="L100" s="250">
        <f t="shared" si="18"/>
        <v>0.14000000000000001</v>
      </c>
      <c r="M100" s="250">
        <f t="shared" si="18"/>
        <v>0.06</v>
      </c>
      <c r="N100" s="250">
        <f t="shared" si="18"/>
        <v>83.85</v>
      </c>
      <c r="O100" s="250">
        <f t="shared" si="18"/>
        <v>149.78</v>
      </c>
      <c r="P100" s="250">
        <f t="shared" si="18"/>
        <v>0.02</v>
      </c>
      <c r="Q100" s="250">
        <f t="shared" si="18"/>
        <v>0</v>
      </c>
      <c r="R100" s="250">
        <f t="shared" si="18"/>
        <v>39.840000000000003</v>
      </c>
      <c r="S100" s="250">
        <f t="shared" si="18"/>
        <v>2.39</v>
      </c>
    </row>
    <row r="101" spans="1:19">
      <c r="A101" s="405" t="s">
        <v>226</v>
      </c>
      <c r="B101" s="405"/>
      <c r="C101" s="405"/>
      <c r="D101" s="405"/>
      <c r="E101" s="174">
        <f>E100/E103</f>
        <v>0.14822222222222223</v>
      </c>
      <c r="F101" s="174">
        <f t="shared" ref="F101:S101" si="19">F100/F103</f>
        <v>6.652173913043477E-2</v>
      </c>
      <c r="G101" s="174">
        <f t="shared" si="19"/>
        <v>0.1691906005221932</v>
      </c>
      <c r="H101" s="174">
        <f t="shared" si="19"/>
        <v>0.13547794117647058</v>
      </c>
      <c r="I101" s="174">
        <f t="shared" si="19"/>
        <v>0.10000000000000002</v>
      </c>
      <c r="J101" s="174">
        <f t="shared" si="19"/>
        <v>0.11874999999999999</v>
      </c>
      <c r="K101" s="174">
        <f t="shared" si="19"/>
        <v>4.4000000000000004E-2</v>
      </c>
      <c r="L101" s="174">
        <f t="shared" si="19"/>
        <v>0.15555555555555556</v>
      </c>
      <c r="M101" s="174">
        <f t="shared" si="19"/>
        <v>5.0000000000000001E-3</v>
      </c>
      <c r="N101" s="174">
        <f t="shared" si="19"/>
        <v>6.9874999999999993E-2</v>
      </c>
      <c r="O101" s="174">
        <f t="shared" si="19"/>
        <v>0.12481666666666667</v>
      </c>
      <c r="P101" s="174">
        <f t="shared" si="19"/>
        <v>1.4285714285714286E-3</v>
      </c>
      <c r="Q101" s="174">
        <f t="shared" si="19"/>
        <v>0</v>
      </c>
      <c r="R101" s="174">
        <f t="shared" si="19"/>
        <v>0.1328</v>
      </c>
      <c r="S101" s="174">
        <f t="shared" si="19"/>
        <v>0.13277777777777777</v>
      </c>
    </row>
    <row r="102" spans="1:19">
      <c r="A102" s="405" t="s">
        <v>241</v>
      </c>
      <c r="B102" s="405"/>
      <c r="C102" s="405"/>
      <c r="D102" s="405"/>
      <c r="E102" s="250">
        <f>E100+E95+E85</f>
        <v>80.34</v>
      </c>
      <c r="F102" s="250">
        <f t="shared" ref="F102:S102" si="20">F100+F95+F85</f>
        <v>63.399999999999991</v>
      </c>
      <c r="G102" s="250">
        <f t="shared" si="20"/>
        <v>265.80000000000007</v>
      </c>
      <c r="H102" s="250">
        <f t="shared" si="20"/>
        <v>1955.76</v>
      </c>
      <c r="I102" s="250">
        <f t="shared" si="20"/>
        <v>1.4800000000000002</v>
      </c>
      <c r="J102" s="250">
        <f t="shared" si="20"/>
        <v>1.6230000000000002</v>
      </c>
      <c r="K102" s="250">
        <f t="shared" si="20"/>
        <v>56.58</v>
      </c>
      <c r="L102" s="250">
        <f t="shared" si="20"/>
        <v>0.7621</v>
      </c>
      <c r="M102" s="250">
        <f t="shared" si="20"/>
        <v>9.5250000000000004</v>
      </c>
      <c r="N102" s="250">
        <f t="shared" si="20"/>
        <v>553.76</v>
      </c>
      <c r="O102" s="250">
        <f t="shared" si="20"/>
        <v>1077.95</v>
      </c>
      <c r="P102" s="250">
        <f t="shared" si="20"/>
        <v>1.9589999999999999</v>
      </c>
      <c r="Q102" s="250">
        <f t="shared" si="20"/>
        <v>6.9000000000000006E-2</v>
      </c>
      <c r="R102" s="250">
        <f t="shared" si="20"/>
        <v>240.17000000000002</v>
      </c>
      <c r="S102" s="250">
        <f t="shared" si="20"/>
        <v>13.58</v>
      </c>
    </row>
    <row r="103" spans="1:19">
      <c r="A103" s="405" t="s">
        <v>242</v>
      </c>
      <c r="B103" s="405"/>
      <c r="C103" s="405"/>
      <c r="D103" s="405"/>
      <c r="E103" s="253">
        <v>90</v>
      </c>
      <c r="F103" s="253">
        <v>92</v>
      </c>
      <c r="G103" s="253">
        <v>383</v>
      </c>
      <c r="H103" s="253">
        <v>2720</v>
      </c>
      <c r="I103" s="253">
        <v>1.4</v>
      </c>
      <c r="J103" s="253">
        <v>1.6</v>
      </c>
      <c r="K103" s="253">
        <v>70</v>
      </c>
      <c r="L103" s="253">
        <v>0.9</v>
      </c>
      <c r="M103" s="253">
        <v>12</v>
      </c>
      <c r="N103" s="253">
        <v>1200</v>
      </c>
      <c r="O103" s="253">
        <v>1200</v>
      </c>
      <c r="P103" s="253">
        <v>14</v>
      </c>
      <c r="Q103" s="253">
        <v>0.1</v>
      </c>
      <c r="R103" s="253">
        <v>300</v>
      </c>
      <c r="S103" s="253">
        <v>18</v>
      </c>
    </row>
    <row r="104" spans="1:19">
      <c r="A104" s="405" t="s">
        <v>226</v>
      </c>
      <c r="B104" s="405"/>
      <c r="C104" s="405"/>
      <c r="D104" s="405"/>
      <c r="E104" s="174">
        <f>E102/E103</f>
        <v>0.89266666666666672</v>
      </c>
      <c r="F104" s="174">
        <f t="shared" ref="F104:S104" si="21">F102/F103</f>
        <v>0.6891304347826086</v>
      </c>
      <c r="G104" s="174">
        <f t="shared" si="21"/>
        <v>0.69399477806788534</v>
      </c>
      <c r="H104" s="174">
        <f t="shared" si="21"/>
        <v>0.71902941176470592</v>
      </c>
      <c r="I104" s="174">
        <f t="shared" si="21"/>
        <v>1.0571428571428574</v>
      </c>
      <c r="J104" s="174">
        <f t="shared" si="21"/>
        <v>1.014375</v>
      </c>
      <c r="K104" s="174">
        <f t="shared" si="21"/>
        <v>0.80828571428571427</v>
      </c>
      <c r="L104" s="174">
        <f t="shared" si="21"/>
        <v>0.84677777777777774</v>
      </c>
      <c r="M104" s="174">
        <f t="shared" si="21"/>
        <v>0.79375000000000007</v>
      </c>
      <c r="N104" s="174">
        <f t="shared" si="21"/>
        <v>0.46146666666666664</v>
      </c>
      <c r="O104" s="174">
        <f t="shared" si="21"/>
        <v>0.89829166666666671</v>
      </c>
      <c r="P104" s="174">
        <f t="shared" si="21"/>
        <v>0.13992857142857143</v>
      </c>
      <c r="Q104" s="174">
        <f t="shared" si="21"/>
        <v>0.69000000000000006</v>
      </c>
      <c r="R104" s="174">
        <f t="shared" si="21"/>
        <v>0.80056666666666676</v>
      </c>
      <c r="S104" s="174">
        <f t="shared" si="21"/>
        <v>0.75444444444444447</v>
      </c>
    </row>
    <row r="106" spans="1:19">
      <c r="A106" s="416" t="s">
        <v>284</v>
      </c>
      <c r="B106" s="416"/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>
      <c r="A107" s="405" t="s">
        <v>189</v>
      </c>
      <c r="B107" s="405"/>
      <c r="C107" s="253"/>
      <c r="D107" s="253"/>
      <c r="E107" s="253"/>
      <c r="F107" s="445" t="s">
        <v>276</v>
      </c>
      <c r="G107" s="445"/>
      <c r="H107" s="445"/>
      <c r="I107" s="253"/>
      <c r="J107" s="253"/>
      <c r="K107" s="405" t="s">
        <v>191</v>
      </c>
      <c r="L107" s="405"/>
      <c r="M107" s="419" t="s">
        <v>286</v>
      </c>
      <c r="N107" s="419"/>
      <c r="O107" s="419"/>
      <c r="P107" s="419"/>
      <c r="Q107" s="253"/>
      <c r="R107" s="253"/>
      <c r="S107" s="253"/>
    </row>
    <row r="108" spans="1:19">
      <c r="A108" s="253"/>
      <c r="B108" s="253"/>
      <c r="C108" s="253"/>
      <c r="D108" s="416" t="s">
        <v>194</v>
      </c>
      <c r="E108" s="416"/>
      <c r="F108" s="253">
        <v>1</v>
      </c>
      <c r="G108" s="253"/>
      <c r="H108" s="253"/>
      <c r="I108" s="253"/>
      <c r="J108" s="253"/>
      <c r="K108" s="405" t="s">
        <v>195</v>
      </c>
      <c r="L108" s="405"/>
      <c r="M108" s="419" t="s">
        <v>347</v>
      </c>
      <c r="N108" s="419"/>
      <c r="O108" s="419"/>
      <c r="P108" s="419"/>
      <c r="Q108" s="419"/>
      <c r="R108" s="419"/>
      <c r="S108" s="419"/>
    </row>
    <row r="109" spans="1:19">
      <c r="A109" s="256" t="s">
        <v>0</v>
      </c>
      <c r="B109" s="444" t="s">
        <v>198</v>
      </c>
      <c r="C109" s="444"/>
      <c r="D109" s="444" t="s">
        <v>199</v>
      </c>
      <c r="E109" s="444" t="s">
        <v>200</v>
      </c>
      <c r="F109" s="444"/>
      <c r="G109" s="444"/>
      <c r="H109" s="256" t="s">
        <v>201</v>
      </c>
      <c r="I109" s="444" t="s">
        <v>202</v>
      </c>
      <c r="J109" s="444"/>
      <c r="K109" s="444"/>
      <c r="L109" s="444"/>
      <c r="M109" s="444"/>
      <c r="N109" s="444" t="s">
        <v>203</v>
      </c>
      <c r="O109" s="444"/>
      <c r="P109" s="444"/>
      <c r="Q109" s="444"/>
      <c r="R109" s="444"/>
      <c r="S109" s="444"/>
    </row>
    <row r="110" spans="1:19" ht="38.25">
      <c r="A110" s="256" t="s">
        <v>245</v>
      </c>
      <c r="B110" s="444"/>
      <c r="C110" s="444"/>
      <c r="D110" s="444"/>
      <c r="E110" s="256" t="s">
        <v>204</v>
      </c>
      <c r="F110" s="256" t="s">
        <v>205</v>
      </c>
      <c r="G110" s="256" t="s">
        <v>206</v>
      </c>
      <c r="H110" s="256" t="s">
        <v>207</v>
      </c>
      <c r="I110" s="256" t="s">
        <v>208</v>
      </c>
      <c r="J110" s="256" t="s">
        <v>209</v>
      </c>
      <c r="K110" s="256" t="s">
        <v>210</v>
      </c>
      <c r="L110" s="256" t="s">
        <v>211</v>
      </c>
      <c r="M110" s="256" t="s">
        <v>212</v>
      </c>
      <c r="N110" s="256" t="s">
        <v>213</v>
      </c>
      <c r="O110" s="256" t="s">
        <v>214</v>
      </c>
      <c r="P110" s="256" t="s">
        <v>215</v>
      </c>
      <c r="Q110" s="256" t="s">
        <v>216</v>
      </c>
      <c r="R110" s="256" t="s">
        <v>217</v>
      </c>
      <c r="S110" s="256" t="s">
        <v>218</v>
      </c>
    </row>
    <row r="111" spans="1:19">
      <c r="A111" s="254">
        <v>1</v>
      </c>
      <c r="B111" s="418">
        <v>2</v>
      </c>
      <c r="C111" s="418"/>
      <c r="D111" s="254">
        <v>3</v>
      </c>
      <c r="E111" s="254">
        <v>4</v>
      </c>
      <c r="F111" s="254">
        <v>5</v>
      </c>
      <c r="G111" s="254">
        <v>6</v>
      </c>
      <c r="H111" s="254">
        <v>7</v>
      </c>
      <c r="I111" s="254">
        <v>8</v>
      </c>
      <c r="J111" s="254">
        <v>9</v>
      </c>
      <c r="K111" s="254">
        <v>10</v>
      </c>
      <c r="L111" s="254">
        <v>11</v>
      </c>
      <c r="M111" s="254">
        <v>12</v>
      </c>
      <c r="N111" s="254">
        <v>13</v>
      </c>
      <c r="O111" s="254">
        <v>14</v>
      </c>
      <c r="P111" s="254">
        <v>15</v>
      </c>
      <c r="Q111" s="254">
        <v>16</v>
      </c>
      <c r="R111" s="254">
        <v>17</v>
      </c>
      <c r="S111" s="254">
        <v>18</v>
      </c>
    </row>
    <row r="112" spans="1:19">
      <c r="A112" s="416" t="s">
        <v>219</v>
      </c>
      <c r="B112" s="416"/>
      <c r="C112" s="416"/>
      <c r="D112" s="416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ht="34.5" customHeight="1">
      <c r="A113" s="257" t="s">
        <v>340</v>
      </c>
      <c r="B113" s="446" t="s">
        <v>339</v>
      </c>
      <c r="C113" s="446"/>
      <c r="D113" s="258">
        <v>40</v>
      </c>
      <c r="E113" s="258">
        <v>1.1200000000000001</v>
      </c>
      <c r="F113" s="258">
        <v>0</v>
      </c>
      <c r="G113" s="258">
        <v>0.52</v>
      </c>
      <c r="H113" s="257">
        <v>6.44</v>
      </c>
      <c r="I113" s="258">
        <v>0</v>
      </c>
      <c r="J113" s="258">
        <v>0</v>
      </c>
      <c r="K113" s="258">
        <v>0</v>
      </c>
      <c r="L113" s="258">
        <v>0</v>
      </c>
      <c r="M113" s="258">
        <v>0</v>
      </c>
      <c r="N113" s="258">
        <v>0</v>
      </c>
      <c r="O113" s="258">
        <v>0</v>
      </c>
      <c r="P113" s="258">
        <v>0</v>
      </c>
      <c r="Q113" s="258">
        <v>0</v>
      </c>
      <c r="R113" s="258">
        <v>0</v>
      </c>
      <c r="S113" s="258">
        <v>0</v>
      </c>
    </row>
    <row r="114" spans="1:19" ht="30" customHeight="1">
      <c r="A114" s="251">
        <v>71</v>
      </c>
      <c r="B114" s="406" t="s">
        <v>338</v>
      </c>
      <c r="C114" s="406"/>
      <c r="D114" s="251">
        <v>40</v>
      </c>
      <c r="E114" s="251">
        <v>0.33</v>
      </c>
      <c r="F114" s="251">
        <v>0.04</v>
      </c>
      <c r="G114" s="251">
        <v>1.1299999999999999</v>
      </c>
      <c r="H114" s="251">
        <v>6.23</v>
      </c>
      <c r="I114" s="251">
        <v>8.9999999999999993E-3</v>
      </c>
      <c r="J114" s="251">
        <v>0.01</v>
      </c>
      <c r="K114" s="251">
        <v>3</v>
      </c>
      <c r="L114" s="251">
        <v>3.0000000000000001E-3</v>
      </c>
      <c r="M114" s="251">
        <v>0.03</v>
      </c>
      <c r="N114" s="251">
        <v>6.9</v>
      </c>
      <c r="O114" s="251">
        <v>12.6</v>
      </c>
      <c r="P114" s="251">
        <v>6.4000000000000001E-2</v>
      </c>
      <c r="Q114" s="251">
        <v>1E-3</v>
      </c>
      <c r="R114" s="251">
        <v>4.2</v>
      </c>
      <c r="S114" s="251">
        <v>0.18</v>
      </c>
    </row>
    <row r="115" spans="1:19">
      <c r="A115" s="258">
        <v>210</v>
      </c>
      <c r="B115" s="454" t="s">
        <v>287</v>
      </c>
      <c r="C115" s="454"/>
      <c r="D115" s="258">
        <v>250</v>
      </c>
      <c r="E115" s="258">
        <v>23.23</v>
      </c>
      <c r="F115" s="258">
        <v>41.38</v>
      </c>
      <c r="G115" s="258">
        <v>4.4000000000000004</v>
      </c>
      <c r="H115" s="258">
        <v>482.75</v>
      </c>
      <c r="I115" s="258">
        <v>0.18</v>
      </c>
      <c r="J115" s="258">
        <v>0.85</v>
      </c>
      <c r="K115" s="258">
        <v>0.43</v>
      </c>
      <c r="L115" s="258">
        <v>0.18</v>
      </c>
      <c r="M115" s="258"/>
      <c r="N115" s="258">
        <v>171.8</v>
      </c>
      <c r="O115" s="258">
        <v>376.3</v>
      </c>
      <c r="P115" s="258"/>
      <c r="Q115" s="258">
        <v>0</v>
      </c>
      <c r="R115" s="258">
        <v>26.9</v>
      </c>
      <c r="S115" s="258">
        <v>4.4000000000000004</v>
      </c>
    </row>
    <row r="116" spans="1:19" ht="27.75" customHeight="1">
      <c r="A116" s="253">
        <v>338</v>
      </c>
      <c r="B116" s="406" t="s">
        <v>220</v>
      </c>
      <c r="C116" s="406"/>
      <c r="D116" s="253">
        <v>100</v>
      </c>
      <c r="E116" s="253">
        <v>0.4</v>
      </c>
      <c r="F116" s="253">
        <v>0.4</v>
      </c>
      <c r="G116" s="253">
        <v>9.8000000000000007</v>
      </c>
      <c r="H116" s="253">
        <v>44.4</v>
      </c>
      <c r="I116" s="253">
        <v>0.04</v>
      </c>
      <c r="J116" s="253">
        <v>0.02</v>
      </c>
      <c r="K116" s="253">
        <v>10</v>
      </c>
      <c r="L116" s="253">
        <v>0</v>
      </c>
      <c r="M116" s="253">
        <v>0.2</v>
      </c>
      <c r="N116" s="253">
        <v>16</v>
      </c>
      <c r="O116" s="253">
        <v>11</v>
      </c>
      <c r="P116" s="253">
        <v>0</v>
      </c>
      <c r="Q116" s="253">
        <v>0</v>
      </c>
      <c r="R116" s="253">
        <v>9</v>
      </c>
      <c r="S116" s="253">
        <v>2.2000000000000002</v>
      </c>
    </row>
    <row r="117" spans="1:19">
      <c r="A117" s="248">
        <v>376</v>
      </c>
      <c r="B117" s="417" t="s">
        <v>141</v>
      </c>
      <c r="C117" s="417"/>
      <c r="D117" s="248">
        <v>200</v>
      </c>
      <c r="E117" s="248">
        <v>0.2</v>
      </c>
      <c r="F117" s="248">
        <v>0.05</v>
      </c>
      <c r="G117" s="248">
        <v>15.01</v>
      </c>
      <c r="H117" s="248">
        <v>61</v>
      </c>
      <c r="I117" s="248">
        <v>0</v>
      </c>
      <c r="J117" s="248">
        <v>0.01</v>
      </c>
      <c r="K117" s="248">
        <v>9</v>
      </c>
      <c r="L117" s="248">
        <v>1E-4</v>
      </c>
      <c r="M117" s="248">
        <v>4.4999999999999998E-2</v>
      </c>
      <c r="N117" s="248">
        <v>5.25</v>
      </c>
      <c r="O117" s="248">
        <v>8.24</v>
      </c>
      <c r="P117" s="248">
        <v>8.0000000000000002E-3</v>
      </c>
      <c r="Q117" s="248">
        <v>0</v>
      </c>
      <c r="R117" s="248">
        <v>4.4000000000000004</v>
      </c>
      <c r="S117" s="248">
        <v>0.87</v>
      </c>
    </row>
    <row r="118" spans="1:19">
      <c r="A118" s="253" t="s">
        <v>224</v>
      </c>
      <c r="B118" s="406" t="s">
        <v>267</v>
      </c>
      <c r="C118" s="406"/>
      <c r="D118" s="253">
        <v>40</v>
      </c>
      <c r="E118" s="253">
        <v>2.67</v>
      </c>
      <c r="F118" s="253">
        <v>0.53</v>
      </c>
      <c r="G118" s="253">
        <v>13.73</v>
      </c>
      <c r="H118" s="253">
        <v>70.400000000000006</v>
      </c>
      <c r="I118" s="253">
        <v>0.13</v>
      </c>
      <c r="J118" s="253">
        <v>1.2999999999999999E-2</v>
      </c>
      <c r="K118" s="253">
        <v>0.1</v>
      </c>
      <c r="L118" s="253">
        <v>0</v>
      </c>
      <c r="M118" s="253">
        <v>0.93</v>
      </c>
      <c r="N118" s="253">
        <v>14</v>
      </c>
      <c r="O118" s="253">
        <v>63.2</v>
      </c>
      <c r="P118" s="253">
        <v>1.2999999999999999E-2</v>
      </c>
      <c r="Q118" s="253">
        <v>1.2999999999999999E-2</v>
      </c>
      <c r="R118" s="253">
        <v>18.8</v>
      </c>
      <c r="S118" s="253">
        <v>1.6</v>
      </c>
    </row>
    <row r="119" spans="1:19">
      <c r="A119" s="405" t="s">
        <v>225</v>
      </c>
      <c r="B119" s="405"/>
      <c r="C119" s="405"/>
      <c r="D119" s="250">
        <f>SUM(D114:D118)</f>
        <v>630</v>
      </c>
      <c r="E119" s="250">
        <f t="shared" ref="E119:S119" si="22">SUM(E114:E118)</f>
        <v>26.83</v>
      </c>
      <c r="F119" s="250">
        <f t="shared" si="22"/>
        <v>42.4</v>
      </c>
      <c r="G119" s="250">
        <f t="shared" si="22"/>
        <v>44.070000000000007</v>
      </c>
      <c r="H119" s="250">
        <f t="shared" si="22"/>
        <v>664.78</v>
      </c>
      <c r="I119" s="250">
        <f t="shared" si="22"/>
        <v>0.35899999999999999</v>
      </c>
      <c r="J119" s="250">
        <f t="shared" si="22"/>
        <v>0.90300000000000002</v>
      </c>
      <c r="K119" s="250">
        <f t="shared" si="22"/>
        <v>22.53</v>
      </c>
      <c r="L119" s="250">
        <f t="shared" si="22"/>
        <v>0.18309999999999998</v>
      </c>
      <c r="M119" s="250">
        <f t="shared" si="22"/>
        <v>1.2050000000000001</v>
      </c>
      <c r="N119" s="250">
        <f t="shared" si="22"/>
        <v>213.95000000000002</v>
      </c>
      <c r="O119" s="250">
        <f t="shared" si="22"/>
        <v>471.34000000000003</v>
      </c>
      <c r="P119" s="250">
        <f t="shared" si="22"/>
        <v>8.5000000000000006E-2</v>
      </c>
      <c r="Q119" s="250">
        <f t="shared" si="22"/>
        <v>1.3999999999999999E-2</v>
      </c>
      <c r="R119" s="250">
        <f t="shared" si="22"/>
        <v>63.3</v>
      </c>
      <c r="S119" s="250">
        <f t="shared" si="22"/>
        <v>9.25</v>
      </c>
    </row>
    <row r="120" spans="1:19">
      <c r="A120" s="405" t="s">
        <v>226</v>
      </c>
      <c r="B120" s="405"/>
      <c r="C120" s="405"/>
      <c r="D120" s="405"/>
      <c r="E120" s="174">
        <f>E119/E137</f>
        <v>0.2981111111111111</v>
      </c>
      <c r="F120" s="174">
        <f t="shared" ref="F120:S120" si="23">F119/F137</f>
        <v>0.46086956521739131</v>
      </c>
      <c r="G120" s="174">
        <f t="shared" si="23"/>
        <v>0.11506527415143605</v>
      </c>
      <c r="H120" s="174">
        <f t="shared" si="23"/>
        <v>0.24440441176470587</v>
      </c>
      <c r="I120" s="174">
        <f t="shared" si="23"/>
        <v>0.25642857142857145</v>
      </c>
      <c r="J120" s="174">
        <f t="shared" si="23"/>
        <v>0.56437499999999996</v>
      </c>
      <c r="K120" s="174">
        <f t="shared" si="23"/>
        <v>0.3218571428571429</v>
      </c>
      <c r="L120" s="174">
        <f t="shared" si="23"/>
        <v>0.20344444444444443</v>
      </c>
      <c r="M120" s="174">
        <f t="shared" si="23"/>
        <v>0.10041666666666667</v>
      </c>
      <c r="N120" s="174">
        <f t="shared" si="23"/>
        <v>0.17829166666666668</v>
      </c>
      <c r="O120" s="174">
        <f t="shared" si="23"/>
        <v>0.39278333333333337</v>
      </c>
      <c r="P120" s="174">
        <f t="shared" si="23"/>
        <v>6.0714285714285722E-3</v>
      </c>
      <c r="Q120" s="174">
        <f t="shared" si="23"/>
        <v>0.13999999999999999</v>
      </c>
      <c r="R120" s="174">
        <f t="shared" si="23"/>
        <v>0.21099999999999999</v>
      </c>
      <c r="S120" s="174">
        <f t="shared" si="23"/>
        <v>0.51388888888888884</v>
      </c>
    </row>
    <row r="121" spans="1:19">
      <c r="A121" s="416" t="s">
        <v>227</v>
      </c>
      <c r="B121" s="416"/>
      <c r="C121" s="416"/>
      <c r="D121" s="416"/>
      <c r="E121" s="416"/>
      <c r="F121" s="416"/>
      <c r="G121" s="416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>
      <c r="A122" s="253">
        <v>52</v>
      </c>
      <c r="B122" s="406" t="s">
        <v>252</v>
      </c>
      <c r="C122" s="406"/>
      <c r="D122" s="253">
        <v>100</v>
      </c>
      <c r="E122" s="253">
        <v>1.43</v>
      </c>
      <c r="F122" s="253">
        <v>5.08</v>
      </c>
      <c r="G122" s="253">
        <v>8.5500000000000007</v>
      </c>
      <c r="H122" s="253">
        <v>85.68</v>
      </c>
      <c r="I122" s="253">
        <v>0.02</v>
      </c>
      <c r="J122" s="253">
        <v>0.03</v>
      </c>
      <c r="K122" s="253">
        <v>9.5</v>
      </c>
      <c r="L122" s="253">
        <v>0.02</v>
      </c>
      <c r="M122" s="253">
        <v>0.17</v>
      </c>
      <c r="N122" s="253">
        <v>44.35</v>
      </c>
      <c r="O122" s="253">
        <v>42.73</v>
      </c>
      <c r="P122" s="253">
        <v>0.72</v>
      </c>
      <c r="Q122" s="253">
        <v>1.7000000000000001E-2</v>
      </c>
      <c r="R122" s="253">
        <v>21.5</v>
      </c>
      <c r="S122" s="253">
        <v>1.4</v>
      </c>
    </row>
    <row r="123" spans="1:19" ht="21" customHeight="1">
      <c r="A123" s="253" t="s">
        <v>289</v>
      </c>
      <c r="B123" s="417" t="s">
        <v>290</v>
      </c>
      <c r="C123" s="417"/>
      <c r="D123" s="253">
        <v>250</v>
      </c>
      <c r="E123" s="253">
        <v>2.63</v>
      </c>
      <c r="F123" s="253">
        <v>2.63</v>
      </c>
      <c r="G123" s="253">
        <v>19.38</v>
      </c>
      <c r="H123" s="253">
        <v>112.5</v>
      </c>
      <c r="I123" s="253">
        <v>0.1</v>
      </c>
      <c r="J123" s="253">
        <v>0.05</v>
      </c>
      <c r="K123" s="253">
        <v>7</v>
      </c>
      <c r="L123" s="253">
        <v>0.1</v>
      </c>
      <c r="M123" s="253"/>
      <c r="N123" s="253">
        <v>15.8</v>
      </c>
      <c r="O123" s="253">
        <v>0</v>
      </c>
      <c r="P123" s="253"/>
      <c r="Q123" s="253">
        <v>0</v>
      </c>
      <c r="R123" s="253">
        <v>24</v>
      </c>
      <c r="S123" s="253">
        <v>0.9</v>
      </c>
    </row>
    <row r="124" spans="1:19" ht="24.75" customHeight="1">
      <c r="A124" s="253">
        <v>295</v>
      </c>
      <c r="B124" s="417" t="s">
        <v>291</v>
      </c>
      <c r="C124" s="417"/>
      <c r="D124" s="253">
        <v>100</v>
      </c>
      <c r="E124" s="253">
        <v>15.24</v>
      </c>
      <c r="F124" s="253">
        <v>5.8</v>
      </c>
      <c r="G124" s="253">
        <v>10.16</v>
      </c>
      <c r="H124" s="253">
        <v>153.80000000000001</v>
      </c>
      <c r="I124" s="253">
        <v>0.09</v>
      </c>
      <c r="J124" s="253">
        <v>0.08</v>
      </c>
      <c r="K124" s="253">
        <v>0.24</v>
      </c>
      <c r="L124" s="253">
        <v>1E-3</v>
      </c>
      <c r="M124" s="253">
        <v>7.3999999999999996E-2</v>
      </c>
      <c r="N124" s="253">
        <v>14.03</v>
      </c>
      <c r="O124" s="253">
        <v>93.98</v>
      </c>
      <c r="P124" s="253">
        <v>1.17</v>
      </c>
      <c r="Q124" s="253">
        <v>0.04</v>
      </c>
      <c r="R124" s="253">
        <v>16.239999999999998</v>
      </c>
      <c r="S124" s="253">
        <v>1.89</v>
      </c>
    </row>
    <row r="125" spans="1:19" ht="24.75" customHeight="1">
      <c r="A125" s="248" t="s">
        <v>292</v>
      </c>
      <c r="B125" s="417" t="s">
        <v>293</v>
      </c>
      <c r="C125" s="417"/>
      <c r="D125" s="253">
        <v>180</v>
      </c>
      <c r="E125" s="253">
        <v>4.32</v>
      </c>
      <c r="F125" s="253">
        <v>4.21</v>
      </c>
      <c r="G125" s="253">
        <v>43.96</v>
      </c>
      <c r="H125" s="253">
        <v>234.94</v>
      </c>
      <c r="I125" s="253">
        <v>0.09</v>
      </c>
      <c r="J125" s="253">
        <v>7.0000000000000007E-2</v>
      </c>
      <c r="K125" s="253">
        <v>9.92</v>
      </c>
      <c r="L125" s="253">
        <v>0.09</v>
      </c>
      <c r="M125" s="253"/>
      <c r="N125" s="253">
        <v>64.64</v>
      </c>
      <c r="O125" s="253">
        <v>0</v>
      </c>
      <c r="P125" s="253"/>
      <c r="Q125" s="253">
        <v>0</v>
      </c>
      <c r="R125" s="253">
        <v>70.599999999999994</v>
      </c>
      <c r="S125" s="253">
        <v>1.42</v>
      </c>
    </row>
    <row r="126" spans="1:19">
      <c r="A126" s="253">
        <v>377</v>
      </c>
      <c r="B126" s="406" t="s">
        <v>149</v>
      </c>
      <c r="C126" s="406"/>
      <c r="D126" s="253" t="s">
        <v>151</v>
      </c>
      <c r="E126" s="253">
        <v>0.26</v>
      </c>
      <c r="F126" s="253">
        <v>0.06</v>
      </c>
      <c r="G126" s="253">
        <v>15.22</v>
      </c>
      <c r="H126" s="253">
        <v>62.5</v>
      </c>
      <c r="I126" s="253"/>
      <c r="J126" s="253">
        <v>0.01</v>
      </c>
      <c r="K126" s="253">
        <v>2.9</v>
      </c>
      <c r="L126" s="253">
        <v>0</v>
      </c>
      <c r="M126" s="253">
        <v>0.06</v>
      </c>
      <c r="N126" s="253">
        <v>8.0500000000000007</v>
      </c>
      <c r="O126" s="253">
        <v>9.7799999999999994</v>
      </c>
      <c r="P126" s="253">
        <v>1.7000000000000001E-2</v>
      </c>
      <c r="Q126" s="253">
        <v>0</v>
      </c>
      <c r="R126" s="253">
        <v>5.24</v>
      </c>
      <c r="S126" s="253">
        <v>0.87</v>
      </c>
    </row>
    <row r="127" spans="1:19">
      <c r="A127" s="253" t="s">
        <v>224</v>
      </c>
      <c r="B127" s="406" t="s">
        <v>235</v>
      </c>
      <c r="C127" s="406"/>
      <c r="D127" s="253">
        <v>40</v>
      </c>
      <c r="E127" s="253">
        <v>2.64</v>
      </c>
      <c r="F127" s="253">
        <v>0.48</v>
      </c>
      <c r="G127" s="253">
        <v>13.68</v>
      </c>
      <c r="H127" s="253">
        <v>69.599999999999994</v>
      </c>
      <c r="I127" s="253">
        <v>0.08</v>
      </c>
      <c r="J127" s="253">
        <v>0.04</v>
      </c>
      <c r="K127" s="253">
        <v>0</v>
      </c>
      <c r="L127" s="253">
        <v>0</v>
      </c>
      <c r="M127" s="253">
        <v>2.4</v>
      </c>
      <c r="N127" s="253">
        <v>14</v>
      </c>
      <c r="O127" s="253">
        <v>63.2</v>
      </c>
      <c r="P127" s="253">
        <v>1.2</v>
      </c>
      <c r="Q127" s="253">
        <v>1E-3</v>
      </c>
      <c r="R127" s="253">
        <v>9.4</v>
      </c>
      <c r="S127" s="253">
        <v>0.78</v>
      </c>
    </row>
    <row r="128" spans="1:19">
      <c r="A128" s="253" t="s">
        <v>224</v>
      </c>
      <c r="B128" s="406" t="s">
        <v>117</v>
      </c>
      <c r="C128" s="406"/>
      <c r="D128" s="253">
        <v>30</v>
      </c>
      <c r="E128" s="253">
        <v>1.52</v>
      </c>
      <c r="F128" s="253">
        <v>0.16</v>
      </c>
      <c r="G128" s="253">
        <v>9.84</v>
      </c>
      <c r="H128" s="253">
        <v>46.9</v>
      </c>
      <c r="I128" s="253">
        <v>0.02</v>
      </c>
      <c r="J128" s="253">
        <v>0.01</v>
      </c>
      <c r="K128" s="253">
        <v>0.44</v>
      </c>
      <c r="L128" s="253">
        <v>0</v>
      </c>
      <c r="M128" s="253">
        <v>0.7</v>
      </c>
      <c r="N128" s="253">
        <v>4</v>
      </c>
      <c r="O128" s="253">
        <v>13</v>
      </c>
      <c r="P128" s="253">
        <v>8.0000000000000002E-3</v>
      </c>
      <c r="Q128" s="253">
        <v>1E-3</v>
      </c>
      <c r="R128" s="253">
        <v>0</v>
      </c>
      <c r="S128" s="253">
        <v>0.22</v>
      </c>
    </row>
    <row r="129" spans="1:19">
      <c r="A129" s="405" t="s">
        <v>236</v>
      </c>
      <c r="B129" s="405"/>
      <c r="C129" s="405"/>
      <c r="D129" s="250">
        <f>D122+D123+D124+D125+D127+D128+204</f>
        <v>904</v>
      </c>
      <c r="E129" s="250">
        <f>SUM(E122:E128)</f>
        <v>28.040000000000003</v>
      </c>
      <c r="F129" s="250">
        <f t="shared" ref="F129:S129" si="24">SUM(F122:F128)</f>
        <v>18.419999999999998</v>
      </c>
      <c r="G129" s="250">
        <f t="shared" si="24"/>
        <v>120.79000000000002</v>
      </c>
      <c r="H129" s="250">
        <f t="shared" si="24"/>
        <v>765.92000000000007</v>
      </c>
      <c r="I129" s="250">
        <f t="shared" si="24"/>
        <v>0.40000000000000008</v>
      </c>
      <c r="J129" s="250">
        <f t="shared" si="24"/>
        <v>0.29000000000000004</v>
      </c>
      <c r="K129" s="250">
        <f t="shared" si="24"/>
        <v>29.999999999999996</v>
      </c>
      <c r="L129" s="250">
        <f t="shared" si="24"/>
        <v>0.21100000000000002</v>
      </c>
      <c r="M129" s="250">
        <f t="shared" si="24"/>
        <v>3.4039999999999999</v>
      </c>
      <c r="N129" s="250">
        <f t="shared" si="24"/>
        <v>164.87</v>
      </c>
      <c r="O129" s="250">
        <f t="shared" si="24"/>
        <v>222.69</v>
      </c>
      <c r="P129" s="250">
        <f t="shared" si="24"/>
        <v>3.1149999999999998</v>
      </c>
      <c r="Q129" s="250">
        <f t="shared" si="24"/>
        <v>5.9000000000000004E-2</v>
      </c>
      <c r="R129" s="250">
        <f t="shared" si="24"/>
        <v>146.97999999999999</v>
      </c>
      <c r="S129" s="250">
        <f t="shared" si="24"/>
        <v>7.4799999999999995</v>
      </c>
    </row>
    <row r="130" spans="1:19">
      <c r="A130" s="405" t="s">
        <v>226</v>
      </c>
      <c r="B130" s="405"/>
      <c r="C130" s="405"/>
      <c r="D130" s="405"/>
      <c r="E130" s="174">
        <f>E129/E137</f>
        <v>0.31155555555555559</v>
      </c>
      <c r="F130" s="174">
        <f t="shared" ref="F130:S130" si="25">F129/F137</f>
        <v>0.20021739130434782</v>
      </c>
      <c r="G130" s="174">
        <f t="shared" si="25"/>
        <v>0.31537859007832902</v>
      </c>
      <c r="H130" s="174">
        <f t="shared" si="25"/>
        <v>0.28158823529411769</v>
      </c>
      <c r="I130" s="174">
        <f t="shared" si="25"/>
        <v>0.28571428571428581</v>
      </c>
      <c r="J130" s="174">
        <f t="shared" si="25"/>
        <v>0.18125000000000002</v>
      </c>
      <c r="K130" s="174">
        <f t="shared" si="25"/>
        <v>0.42857142857142855</v>
      </c>
      <c r="L130" s="174">
        <f t="shared" si="25"/>
        <v>0.23444444444444446</v>
      </c>
      <c r="M130" s="174">
        <f t="shared" si="25"/>
        <v>0.28366666666666668</v>
      </c>
      <c r="N130" s="174">
        <f t="shared" si="25"/>
        <v>0.13739166666666666</v>
      </c>
      <c r="O130" s="174">
        <f t="shared" si="25"/>
        <v>0.18557499999999999</v>
      </c>
      <c r="P130" s="174">
        <f t="shared" si="25"/>
        <v>0.22249999999999998</v>
      </c>
      <c r="Q130" s="174">
        <f t="shared" si="25"/>
        <v>0.59</v>
      </c>
      <c r="R130" s="174">
        <f t="shared" si="25"/>
        <v>0.48993333333333328</v>
      </c>
      <c r="S130" s="174">
        <f t="shared" si="25"/>
        <v>0.41555555555555551</v>
      </c>
    </row>
    <row r="131" spans="1:19">
      <c r="A131" s="416" t="s">
        <v>237</v>
      </c>
      <c r="B131" s="416"/>
      <c r="C131" s="416"/>
      <c r="D131" s="416"/>
      <c r="E131" s="416"/>
      <c r="F131" s="416"/>
      <c r="G131" s="416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>
      <c r="A132" s="253" t="s">
        <v>224</v>
      </c>
      <c r="B132" s="406" t="s">
        <v>238</v>
      </c>
      <c r="C132" s="406"/>
      <c r="D132" s="253">
        <v>100</v>
      </c>
      <c r="E132" s="253">
        <v>7.86</v>
      </c>
      <c r="F132" s="253">
        <v>5.57</v>
      </c>
      <c r="G132" s="253">
        <v>53.71</v>
      </c>
      <c r="H132" s="253">
        <v>297.14</v>
      </c>
      <c r="I132" s="253">
        <v>0.1</v>
      </c>
      <c r="J132" s="253">
        <v>0.04</v>
      </c>
      <c r="K132" s="253">
        <v>0</v>
      </c>
      <c r="L132" s="253">
        <v>0.1</v>
      </c>
      <c r="M132" s="253"/>
      <c r="N132" s="253">
        <v>16.170000000000002</v>
      </c>
      <c r="O132" s="253">
        <v>0</v>
      </c>
      <c r="P132" s="253">
        <v>0</v>
      </c>
      <c r="Q132" s="253">
        <v>0</v>
      </c>
      <c r="R132" s="253">
        <v>11.19</v>
      </c>
      <c r="S132" s="253">
        <v>0.9</v>
      </c>
    </row>
    <row r="133" spans="1:19">
      <c r="A133" s="253">
        <v>648</v>
      </c>
      <c r="B133" s="406" t="s">
        <v>294</v>
      </c>
      <c r="C133" s="406"/>
      <c r="D133" s="253">
        <v>200</v>
      </c>
      <c r="E133" s="253">
        <v>0</v>
      </c>
      <c r="F133" s="253">
        <v>0</v>
      </c>
      <c r="G133" s="253">
        <v>20</v>
      </c>
      <c r="H133" s="253">
        <v>76</v>
      </c>
      <c r="I133" s="253">
        <v>0</v>
      </c>
      <c r="J133" s="253">
        <v>0</v>
      </c>
      <c r="K133" s="253">
        <v>0</v>
      </c>
      <c r="L133" s="253">
        <v>0</v>
      </c>
      <c r="M133" s="253"/>
      <c r="N133" s="253">
        <v>0.48</v>
      </c>
      <c r="O133" s="253">
        <v>0</v>
      </c>
      <c r="P133" s="253">
        <v>0</v>
      </c>
      <c r="Q133" s="253">
        <v>0</v>
      </c>
      <c r="R133" s="253">
        <v>0</v>
      </c>
      <c r="S133" s="253">
        <v>0.06</v>
      </c>
    </row>
    <row r="134" spans="1:19">
      <c r="A134" s="413" t="s">
        <v>240</v>
      </c>
      <c r="B134" s="414"/>
      <c r="C134" s="415"/>
      <c r="D134" s="250">
        <f>D132+D133</f>
        <v>300</v>
      </c>
      <c r="E134" s="250">
        <f t="shared" ref="E134:S134" si="26">E132+E133</f>
        <v>7.86</v>
      </c>
      <c r="F134" s="250">
        <f t="shared" si="26"/>
        <v>5.57</v>
      </c>
      <c r="G134" s="250">
        <f t="shared" si="26"/>
        <v>73.710000000000008</v>
      </c>
      <c r="H134" s="250">
        <f t="shared" si="26"/>
        <v>373.14</v>
      </c>
      <c r="I134" s="250">
        <f t="shared" si="26"/>
        <v>0.1</v>
      </c>
      <c r="J134" s="250">
        <f t="shared" si="26"/>
        <v>0.04</v>
      </c>
      <c r="K134" s="250">
        <f t="shared" si="26"/>
        <v>0</v>
      </c>
      <c r="L134" s="250">
        <f t="shared" si="26"/>
        <v>0.1</v>
      </c>
      <c r="M134" s="250">
        <f t="shared" si="26"/>
        <v>0</v>
      </c>
      <c r="N134" s="250">
        <f t="shared" si="26"/>
        <v>16.650000000000002</v>
      </c>
      <c r="O134" s="250">
        <f t="shared" si="26"/>
        <v>0</v>
      </c>
      <c r="P134" s="250">
        <f t="shared" si="26"/>
        <v>0</v>
      </c>
      <c r="Q134" s="250">
        <f t="shared" si="26"/>
        <v>0</v>
      </c>
      <c r="R134" s="250">
        <f t="shared" si="26"/>
        <v>11.19</v>
      </c>
      <c r="S134" s="250">
        <f t="shared" si="26"/>
        <v>0.96</v>
      </c>
    </row>
    <row r="135" spans="1:19">
      <c r="A135" s="405" t="s">
        <v>226</v>
      </c>
      <c r="B135" s="405"/>
      <c r="C135" s="405"/>
      <c r="D135" s="405"/>
      <c r="E135" s="174">
        <f>E134/E137</f>
        <v>8.7333333333333332E-2</v>
      </c>
      <c r="F135" s="174">
        <f t="shared" ref="F135:S135" si="27">F134/F137</f>
        <v>6.0543478260869567E-2</v>
      </c>
      <c r="G135" s="174">
        <f t="shared" si="27"/>
        <v>0.1924543080939948</v>
      </c>
      <c r="H135" s="174">
        <f t="shared" si="27"/>
        <v>0.13718382352941175</v>
      </c>
      <c r="I135" s="174">
        <f t="shared" si="27"/>
        <v>7.1428571428571438E-2</v>
      </c>
      <c r="J135" s="174">
        <f t="shared" si="27"/>
        <v>2.4999999999999998E-2</v>
      </c>
      <c r="K135" s="174">
        <f t="shared" si="27"/>
        <v>0</v>
      </c>
      <c r="L135" s="174">
        <f t="shared" si="27"/>
        <v>0.11111111111111112</v>
      </c>
      <c r="M135" s="174">
        <f t="shared" si="27"/>
        <v>0</v>
      </c>
      <c r="N135" s="174">
        <f t="shared" si="27"/>
        <v>1.3875000000000002E-2</v>
      </c>
      <c r="O135" s="174">
        <f t="shared" si="27"/>
        <v>0</v>
      </c>
      <c r="P135" s="174">
        <f t="shared" si="27"/>
        <v>0</v>
      </c>
      <c r="Q135" s="174">
        <f t="shared" si="27"/>
        <v>0</v>
      </c>
      <c r="R135" s="174">
        <f t="shared" si="27"/>
        <v>3.73E-2</v>
      </c>
      <c r="S135" s="174">
        <f t="shared" si="27"/>
        <v>5.333333333333333E-2</v>
      </c>
    </row>
    <row r="136" spans="1:19">
      <c r="A136" s="405" t="s">
        <v>241</v>
      </c>
      <c r="B136" s="405"/>
      <c r="C136" s="405"/>
      <c r="D136" s="405"/>
      <c r="E136" s="250">
        <f>E134+E129+E119</f>
        <v>62.730000000000004</v>
      </c>
      <c r="F136" s="250">
        <f t="shared" ref="F136:S136" si="28">F134+F129+F119</f>
        <v>66.39</v>
      </c>
      <c r="G136" s="250">
        <f t="shared" si="28"/>
        <v>238.57000000000005</v>
      </c>
      <c r="H136" s="250">
        <f t="shared" si="28"/>
        <v>1803.84</v>
      </c>
      <c r="I136" s="250">
        <f t="shared" si="28"/>
        <v>0.8590000000000001</v>
      </c>
      <c r="J136" s="250">
        <f t="shared" si="28"/>
        <v>1.2330000000000001</v>
      </c>
      <c r="K136" s="250">
        <f t="shared" si="28"/>
        <v>52.53</v>
      </c>
      <c r="L136" s="250">
        <f t="shared" si="28"/>
        <v>0.49410000000000004</v>
      </c>
      <c r="M136" s="250">
        <f t="shared" si="28"/>
        <v>4.609</v>
      </c>
      <c r="N136" s="250">
        <f t="shared" si="28"/>
        <v>395.47</v>
      </c>
      <c r="O136" s="250">
        <f t="shared" si="28"/>
        <v>694.03</v>
      </c>
      <c r="P136" s="250">
        <f t="shared" si="28"/>
        <v>3.1999999999999997</v>
      </c>
      <c r="Q136" s="250">
        <f t="shared" si="28"/>
        <v>7.3000000000000009E-2</v>
      </c>
      <c r="R136" s="250">
        <f t="shared" si="28"/>
        <v>221.46999999999997</v>
      </c>
      <c r="S136" s="250">
        <f t="shared" si="28"/>
        <v>17.689999999999998</v>
      </c>
    </row>
    <row r="137" spans="1:19">
      <c r="A137" s="405" t="s">
        <v>242</v>
      </c>
      <c r="B137" s="405"/>
      <c r="C137" s="405"/>
      <c r="D137" s="405"/>
      <c r="E137" s="253">
        <v>90</v>
      </c>
      <c r="F137" s="253">
        <v>92</v>
      </c>
      <c r="G137" s="253">
        <v>383</v>
      </c>
      <c r="H137" s="253">
        <v>2720</v>
      </c>
      <c r="I137" s="253">
        <v>1.4</v>
      </c>
      <c r="J137" s="253">
        <v>1.6</v>
      </c>
      <c r="K137" s="253">
        <v>70</v>
      </c>
      <c r="L137" s="253">
        <v>0.9</v>
      </c>
      <c r="M137" s="253">
        <v>12</v>
      </c>
      <c r="N137" s="253">
        <v>1200</v>
      </c>
      <c r="O137" s="253">
        <v>1200</v>
      </c>
      <c r="P137" s="253">
        <v>14</v>
      </c>
      <c r="Q137" s="253">
        <v>0.1</v>
      </c>
      <c r="R137" s="253">
        <v>300</v>
      </c>
      <c r="S137" s="253">
        <v>18</v>
      </c>
    </row>
    <row r="138" spans="1:19">
      <c r="A138" s="405" t="s">
        <v>226</v>
      </c>
      <c r="B138" s="405"/>
      <c r="C138" s="405"/>
      <c r="D138" s="405"/>
      <c r="E138" s="174">
        <f>E136/E137</f>
        <v>0.69700000000000006</v>
      </c>
      <c r="F138" s="174">
        <f t="shared" ref="F138:S138" si="29">F136/F137</f>
        <v>0.72163043478260869</v>
      </c>
      <c r="G138" s="174">
        <f t="shared" si="29"/>
        <v>0.62289817232375988</v>
      </c>
      <c r="H138" s="174">
        <f t="shared" si="29"/>
        <v>0.66317647058823526</v>
      </c>
      <c r="I138" s="174">
        <f t="shared" si="29"/>
        <v>0.61357142857142866</v>
      </c>
      <c r="J138" s="174">
        <f t="shared" si="29"/>
        <v>0.770625</v>
      </c>
      <c r="K138" s="174">
        <f t="shared" si="29"/>
        <v>0.75042857142857144</v>
      </c>
      <c r="L138" s="174">
        <f t="shared" si="29"/>
        <v>0.54900000000000004</v>
      </c>
      <c r="M138" s="174">
        <f t="shared" si="29"/>
        <v>0.38408333333333333</v>
      </c>
      <c r="N138" s="174">
        <f t="shared" si="29"/>
        <v>0.32955833333333334</v>
      </c>
      <c r="O138" s="174">
        <f t="shared" si="29"/>
        <v>0.57835833333333331</v>
      </c>
      <c r="P138" s="174">
        <f t="shared" si="29"/>
        <v>0.22857142857142856</v>
      </c>
      <c r="Q138" s="174">
        <f t="shared" si="29"/>
        <v>0.73000000000000009</v>
      </c>
      <c r="R138" s="174">
        <f t="shared" si="29"/>
        <v>0.73823333333333319</v>
      </c>
      <c r="S138" s="174">
        <f t="shared" si="29"/>
        <v>0.98277777777777764</v>
      </c>
    </row>
    <row r="139" spans="1:19">
      <c r="A139" s="405"/>
      <c r="B139" s="405"/>
      <c r="C139" s="405"/>
      <c r="D139" s="405"/>
      <c r="E139" s="190"/>
      <c r="F139" s="190"/>
      <c r="G139" s="190"/>
      <c r="H139" s="190"/>
      <c r="I139" s="190"/>
      <c r="J139" s="190"/>
      <c r="K139" s="190"/>
      <c r="L139" s="190"/>
      <c r="M139" s="190"/>
      <c r="N139" s="190"/>
      <c r="O139" s="190"/>
      <c r="P139" s="190"/>
      <c r="Q139" s="190"/>
      <c r="R139" s="190"/>
      <c r="S139" s="190"/>
    </row>
    <row r="140" spans="1:19">
      <c r="A140" s="246"/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</row>
    <row r="141" spans="1:19">
      <c r="A141" s="246"/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</row>
    <row r="142" spans="1:19">
      <c r="A142" s="246"/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</row>
    <row r="144" spans="1:19" ht="15" customHeight="1">
      <c r="A144" s="239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  <c r="L144" s="458" t="s">
        <v>187</v>
      </c>
      <c r="M144" s="459"/>
      <c r="N144" s="459"/>
      <c r="O144" s="459"/>
      <c r="P144" s="459"/>
      <c r="Q144" s="459"/>
      <c r="R144" s="459"/>
      <c r="S144" s="460"/>
    </row>
    <row r="145" spans="1:19" ht="15" customHeight="1">
      <c r="A145" s="422" t="s">
        <v>275</v>
      </c>
      <c r="B145" s="423"/>
      <c r="C145" s="423"/>
      <c r="D145" s="423"/>
      <c r="E145" s="423"/>
      <c r="F145" s="423"/>
      <c r="G145" s="423"/>
      <c r="H145" s="423"/>
      <c r="I145" s="423"/>
      <c r="J145" s="423"/>
      <c r="K145" s="423"/>
      <c r="L145" s="423"/>
      <c r="M145" s="423"/>
      <c r="N145" s="423"/>
      <c r="O145" s="423"/>
      <c r="P145" s="423"/>
      <c r="Q145" s="423"/>
      <c r="R145" s="423"/>
      <c r="S145" s="424"/>
    </row>
    <row r="146" spans="1:19" ht="15" customHeight="1">
      <c r="A146" s="402" t="s">
        <v>189</v>
      </c>
      <c r="B146" s="404"/>
      <c r="C146" s="253"/>
      <c r="D146" s="253"/>
      <c r="E146" s="253"/>
      <c r="F146" s="455" t="s">
        <v>359</v>
      </c>
      <c r="G146" s="456"/>
      <c r="H146" s="457"/>
      <c r="I146" s="253"/>
      <c r="J146" s="253"/>
      <c r="K146" s="402" t="s">
        <v>191</v>
      </c>
      <c r="L146" s="404"/>
      <c r="M146" s="458" t="s">
        <v>192</v>
      </c>
      <c r="N146" s="459"/>
      <c r="O146" s="459"/>
      <c r="P146" s="460"/>
      <c r="Q146" s="253"/>
      <c r="R146" s="253"/>
      <c r="S146" s="253"/>
    </row>
    <row r="147" spans="1:19">
      <c r="A147" s="253"/>
      <c r="B147" s="253"/>
      <c r="C147" s="253"/>
      <c r="D147" s="422" t="s">
        <v>194</v>
      </c>
      <c r="E147" s="424"/>
      <c r="F147" s="253">
        <v>1</v>
      </c>
      <c r="G147" s="253"/>
      <c r="H147" s="253"/>
      <c r="I147" s="253"/>
      <c r="J147" s="253"/>
      <c r="K147" s="402" t="s">
        <v>195</v>
      </c>
      <c r="L147" s="404"/>
      <c r="M147" s="458" t="s">
        <v>347</v>
      </c>
      <c r="N147" s="459"/>
      <c r="O147" s="459"/>
      <c r="P147" s="459"/>
      <c r="Q147" s="459"/>
      <c r="R147" s="459"/>
      <c r="S147" s="460"/>
    </row>
    <row r="148" spans="1:19" ht="15" customHeight="1">
      <c r="A148" s="256" t="s">
        <v>0</v>
      </c>
      <c r="B148" s="463" t="s">
        <v>198</v>
      </c>
      <c r="C148" s="464"/>
      <c r="D148" s="467" t="s">
        <v>199</v>
      </c>
      <c r="E148" s="469" t="s">
        <v>200</v>
      </c>
      <c r="F148" s="470"/>
      <c r="G148" s="471"/>
      <c r="H148" s="256" t="s">
        <v>201</v>
      </c>
      <c r="I148" s="469" t="s">
        <v>202</v>
      </c>
      <c r="J148" s="470"/>
      <c r="K148" s="470"/>
      <c r="L148" s="470"/>
      <c r="M148" s="471"/>
      <c r="N148" s="469" t="s">
        <v>203</v>
      </c>
      <c r="O148" s="470"/>
      <c r="P148" s="470"/>
      <c r="Q148" s="470"/>
      <c r="R148" s="470"/>
      <c r="S148" s="471"/>
    </row>
    <row r="149" spans="1:19" ht="15" customHeight="1">
      <c r="A149" s="256" t="s">
        <v>245</v>
      </c>
      <c r="B149" s="465"/>
      <c r="C149" s="466"/>
      <c r="D149" s="468"/>
      <c r="E149" s="256" t="s">
        <v>204</v>
      </c>
      <c r="F149" s="256" t="s">
        <v>205</v>
      </c>
      <c r="G149" s="256" t="s">
        <v>206</v>
      </c>
      <c r="H149" s="256" t="s">
        <v>207</v>
      </c>
      <c r="I149" s="256" t="s">
        <v>208</v>
      </c>
      <c r="J149" s="256" t="s">
        <v>209</v>
      </c>
      <c r="K149" s="256" t="s">
        <v>210</v>
      </c>
      <c r="L149" s="256" t="s">
        <v>211</v>
      </c>
      <c r="M149" s="256" t="s">
        <v>212</v>
      </c>
      <c r="N149" s="256" t="s">
        <v>213</v>
      </c>
      <c r="O149" s="256" t="s">
        <v>214</v>
      </c>
      <c r="P149" s="256" t="s">
        <v>215</v>
      </c>
      <c r="Q149" s="256" t="s">
        <v>216</v>
      </c>
      <c r="R149" s="256" t="s">
        <v>217</v>
      </c>
      <c r="S149" s="256" t="s">
        <v>218</v>
      </c>
    </row>
    <row r="150" spans="1:19" ht="15" customHeight="1">
      <c r="A150" s="254">
        <v>1</v>
      </c>
      <c r="B150" s="472">
        <v>2</v>
      </c>
      <c r="C150" s="473"/>
      <c r="D150" s="254">
        <v>3</v>
      </c>
      <c r="E150" s="254">
        <v>4</v>
      </c>
      <c r="F150" s="254">
        <v>5</v>
      </c>
      <c r="G150" s="254">
        <v>6</v>
      </c>
      <c r="H150" s="254">
        <v>7</v>
      </c>
      <c r="I150" s="254">
        <v>8</v>
      </c>
      <c r="J150" s="254">
        <v>9</v>
      </c>
      <c r="K150" s="254">
        <v>10</v>
      </c>
      <c r="L150" s="254">
        <v>11</v>
      </c>
      <c r="M150" s="254">
        <v>12</v>
      </c>
      <c r="N150" s="254">
        <v>13</v>
      </c>
      <c r="O150" s="254">
        <v>14</v>
      </c>
      <c r="P150" s="254">
        <v>15</v>
      </c>
      <c r="Q150" s="254">
        <v>16</v>
      </c>
      <c r="R150" s="254">
        <v>17</v>
      </c>
      <c r="S150" s="254">
        <v>18</v>
      </c>
    </row>
    <row r="151" spans="1:19" ht="15" customHeight="1">
      <c r="A151" s="422" t="s">
        <v>246</v>
      </c>
      <c r="B151" s="423"/>
      <c r="C151" s="423"/>
      <c r="D151" s="423"/>
      <c r="E151" s="423"/>
      <c r="F151" s="423"/>
      <c r="G151" s="423"/>
      <c r="H151" s="423"/>
      <c r="I151" s="423"/>
      <c r="J151" s="423"/>
      <c r="K151" s="423"/>
      <c r="L151" s="423"/>
      <c r="M151" s="423"/>
      <c r="N151" s="423"/>
      <c r="O151" s="423"/>
      <c r="P151" s="423"/>
      <c r="Q151" s="423"/>
      <c r="R151" s="423"/>
      <c r="S151" s="424"/>
    </row>
    <row r="152" spans="1:19" ht="15" customHeight="1">
      <c r="A152" s="248">
        <v>338</v>
      </c>
      <c r="B152" s="461" t="s">
        <v>362</v>
      </c>
      <c r="C152" s="462"/>
      <c r="D152" s="248">
        <v>100</v>
      </c>
      <c r="E152" s="248">
        <v>0.4</v>
      </c>
      <c r="F152" s="248">
        <v>0.3</v>
      </c>
      <c r="G152" s="248">
        <v>10.3</v>
      </c>
      <c r="H152" s="248">
        <v>45.5</v>
      </c>
      <c r="I152" s="248">
        <v>0.04</v>
      </c>
      <c r="J152" s="248">
        <v>0.02</v>
      </c>
      <c r="K152" s="248">
        <v>5</v>
      </c>
      <c r="L152" s="248">
        <v>0.01</v>
      </c>
      <c r="M152" s="248">
        <v>0.2</v>
      </c>
      <c r="N152" s="248">
        <v>19</v>
      </c>
      <c r="O152" s="248">
        <v>11</v>
      </c>
      <c r="P152" s="248">
        <v>0.03</v>
      </c>
      <c r="Q152" s="248">
        <v>0</v>
      </c>
      <c r="R152" s="248">
        <v>12</v>
      </c>
      <c r="S152" s="248">
        <v>2.2999999999999998</v>
      </c>
    </row>
    <row r="153" spans="1:19" ht="15" customHeight="1">
      <c r="A153" s="202">
        <v>260</v>
      </c>
      <c r="B153" s="428" t="s">
        <v>232</v>
      </c>
      <c r="C153" s="429"/>
      <c r="D153" s="202">
        <v>100</v>
      </c>
      <c r="E153" s="202">
        <v>12.55</v>
      </c>
      <c r="F153" s="202">
        <v>12.99</v>
      </c>
      <c r="G153" s="202">
        <v>4.01</v>
      </c>
      <c r="H153" s="202">
        <v>182.25</v>
      </c>
      <c r="I153" s="202">
        <v>7.0000000000000007E-2</v>
      </c>
      <c r="J153" s="202">
        <v>0.11</v>
      </c>
      <c r="K153" s="202">
        <v>5.07</v>
      </c>
      <c r="L153" s="202">
        <v>1.49</v>
      </c>
      <c r="M153" s="202">
        <v>2.25</v>
      </c>
      <c r="N153" s="202">
        <v>30.52</v>
      </c>
      <c r="O153" s="202">
        <v>119.19</v>
      </c>
      <c r="P153" s="202"/>
      <c r="Q153" s="202"/>
      <c r="R153" s="202">
        <v>24.03</v>
      </c>
      <c r="S153" s="202">
        <v>2.1</v>
      </c>
    </row>
    <row r="154" spans="1:19" ht="15" customHeight="1">
      <c r="A154" s="253">
        <v>309</v>
      </c>
      <c r="B154" s="410" t="s">
        <v>349</v>
      </c>
      <c r="C154" s="411"/>
      <c r="D154" s="253">
        <v>180</v>
      </c>
      <c r="E154" s="253">
        <v>6.62</v>
      </c>
      <c r="F154" s="253">
        <v>5.42</v>
      </c>
      <c r="G154" s="253">
        <v>31.74</v>
      </c>
      <c r="H154" s="253">
        <v>202.3</v>
      </c>
      <c r="I154" s="253">
        <v>0.108</v>
      </c>
      <c r="J154" s="253">
        <v>3.5999999999999997E-2</v>
      </c>
      <c r="K154" s="253">
        <v>0</v>
      </c>
      <c r="L154" s="253">
        <v>3.5999999999999997E-2</v>
      </c>
      <c r="M154" s="253">
        <v>1.5</v>
      </c>
      <c r="N154" s="253">
        <v>15.94</v>
      </c>
      <c r="O154" s="253">
        <v>55.45</v>
      </c>
      <c r="P154" s="253">
        <v>0.94</v>
      </c>
      <c r="Q154" s="253">
        <v>2E-3</v>
      </c>
      <c r="R154" s="253">
        <v>10.16</v>
      </c>
      <c r="S154" s="253">
        <v>0.86</v>
      </c>
    </row>
    <row r="155" spans="1:19" ht="15" customHeight="1">
      <c r="A155" s="253">
        <v>377</v>
      </c>
      <c r="B155" s="410" t="s">
        <v>149</v>
      </c>
      <c r="C155" s="411"/>
      <c r="D155" s="253" t="s">
        <v>234</v>
      </c>
      <c r="E155" s="253">
        <v>0.26</v>
      </c>
      <c r="F155" s="253">
        <v>0.06</v>
      </c>
      <c r="G155" s="253">
        <v>15.22</v>
      </c>
      <c r="H155" s="253">
        <v>62.5</v>
      </c>
      <c r="I155" s="253"/>
      <c r="J155" s="253">
        <v>0.01</v>
      </c>
      <c r="K155" s="253">
        <v>2.9</v>
      </c>
      <c r="L155" s="253">
        <v>0</v>
      </c>
      <c r="M155" s="253">
        <v>0.06</v>
      </c>
      <c r="N155" s="253">
        <v>8.0500000000000007</v>
      </c>
      <c r="O155" s="253">
        <v>9.7799999999999994</v>
      </c>
      <c r="P155" s="253">
        <v>1.7000000000000001E-2</v>
      </c>
      <c r="Q155" s="253">
        <v>0</v>
      </c>
      <c r="R155" s="253">
        <v>5.24</v>
      </c>
      <c r="S155" s="253">
        <v>0.87</v>
      </c>
    </row>
    <row r="156" spans="1:19" ht="15" customHeight="1">
      <c r="A156" s="253" t="s">
        <v>224</v>
      </c>
      <c r="B156" s="410" t="s">
        <v>161</v>
      </c>
      <c r="C156" s="411"/>
      <c r="D156" s="253">
        <v>40</v>
      </c>
      <c r="E156" s="253">
        <v>3.04</v>
      </c>
      <c r="F156" s="253">
        <v>0.32</v>
      </c>
      <c r="G156" s="253">
        <v>19.68</v>
      </c>
      <c r="H156" s="253">
        <v>93.8</v>
      </c>
      <c r="I156" s="253">
        <v>0.04</v>
      </c>
      <c r="J156" s="253">
        <v>0.01</v>
      </c>
      <c r="K156" s="253">
        <v>0.88</v>
      </c>
      <c r="L156" s="253">
        <v>0</v>
      </c>
      <c r="M156" s="253">
        <v>0.7</v>
      </c>
      <c r="N156" s="253">
        <v>8</v>
      </c>
      <c r="O156" s="253">
        <v>26</v>
      </c>
      <c r="P156" s="253">
        <v>8.0000000000000002E-3</v>
      </c>
      <c r="Q156" s="253">
        <v>3.0000000000000001E-3</v>
      </c>
      <c r="R156" s="253">
        <v>0</v>
      </c>
      <c r="S156" s="253">
        <v>0.44</v>
      </c>
    </row>
    <row r="157" spans="1:19" ht="15" customHeight="1">
      <c r="A157" s="413" t="s">
        <v>251</v>
      </c>
      <c r="B157" s="414"/>
      <c r="C157" s="415"/>
      <c r="D157" s="250">
        <f>D152+D153+D154+D156+204</f>
        <v>624</v>
      </c>
      <c r="E157" s="250">
        <f>SUM(E152:E156)</f>
        <v>22.87</v>
      </c>
      <c r="F157" s="250">
        <f t="shared" ref="F157:S157" si="30">SUM(F152:F156)</f>
        <v>19.09</v>
      </c>
      <c r="G157" s="250">
        <f t="shared" si="30"/>
        <v>80.949999999999989</v>
      </c>
      <c r="H157" s="250">
        <f t="shared" si="30"/>
        <v>586.35</v>
      </c>
      <c r="I157" s="250">
        <f t="shared" si="30"/>
        <v>0.25800000000000001</v>
      </c>
      <c r="J157" s="250">
        <f t="shared" si="30"/>
        <v>0.18600000000000003</v>
      </c>
      <c r="K157" s="250">
        <f t="shared" si="30"/>
        <v>13.850000000000001</v>
      </c>
      <c r="L157" s="250">
        <f t="shared" si="30"/>
        <v>1.536</v>
      </c>
      <c r="M157" s="250">
        <f t="shared" si="30"/>
        <v>4.71</v>
      </c>
      <c r="N157" s="250">
        <f t="shared" si="30"/>
        <v>81.509999999999991</v>
      </c>
      <c r="O157" s="250">
        <f t="shared" si="30"/>
        <v>221.42</v>
      </c>
      <c r="P157" s="250">
        <f t="shared" si="30"/>
        <v>0.995</v>
      </c>
      <c r="Q157" s="250">
        <f t="shared" si="30"/>
        <v>5.0000000000000001E-3</v>
      </c>
      <c r="R157" s="250">
        <f t="shared" si="30"/>
        <v>51.43</v>
      </c>
      <c r="S157" s="250">
        <f t="shared" si="30"/>
        <v>6.5700000000000012</v>
      </c>
    </row>
    <row r="158" spans="1:19" ht="15" customHeight="1">
      <c r="A158" s="402" t="s">
        <v>226</v>
      </c>
      <c r="B158" s="403"/>
      <c r="C158" s="403"/>
      <c r="D158" s="404"/>
      <c r="E158" s="174">
        <f t="shared" ref="E158:S158" si="31">E157/E175</f>
        <v>0.25411111111111112</v>
      </c>
      <c r="F158" s="174">
        <f t="shared" si="31"/>
        <v>0.20749999999999999</v>
      </c>
      <c r="G158" s="174">
        <f t="shared" si="31"/>
        <v>0.21135770234986942</v>
      </c>
      <c r="H158" s="174">
        <f t="shared" si="31"/>
        <v>0.21556985294117648</v>
      </c>
      <c r="I158" s="174">
        <f t="shared" si="31"/>
        <v>0.1842857142857143</v>
      </c>
      <c r="J158" s="174">
        <f t="shared" si="31"/>
        <v>0.11625000000000001</v>
      </c>
      <c r="K158" s="174">
        <f t="shared" si="31"/>
        <v>0.19785714285714287</v>
      </c>
      <c r="L158" s="174">
        <f t="shared" si="31"/>
        <v>1.7066666666666666</v>
      </c>
      <c r="M158" s="174">
        <f t="shared" si="31"/>
        <v>0.39250000000000002</v>
      </c>
      <c r="N158" s="174">
        <f t="shared" si="31"/>
        <v>6.7924999999999999E-2</v>
      </c>
      <c r="O158" s="174">
        <f t="shared" si="31"/>
        <v>0.18451666666666666</v>
      </c>
      <c r="P158" s="174">
        <f t="shared" si="31"/>
        <v>7.1071428571428577E-2</v>
      </c>
      <c r="Q158" s="174">
        <f t="shared" si="31"/>
        <v>4.9999999999999996E-2</v>
      </c>
      <c r="R158" s="174">
        <f t="shared" si="31"/>
        <v>0.17143333333333333</v>
      </c>
      <c r="S158" s="174">
        <f t="shared" si="31"/>
        <v>0.36500000000000005</v>
      </c>
    </row>
    <row r="159" spans="1:19" ht="15" customHeight="1">
      <c r="A159" s="422" t="s">
        <v>227</v>
      </c>
      <c r="B159" s="423"/>
      <c r="C159" s="423"/>
      <c r="D159" s="423"/>
      <c r="E159" s="423"/>
      <c r="F159" s="423"/>
      <c r="G159" s="423"/>
      <c r="H159" s="423"/>
      <c r="I159" s="423"/>
      <c r="J159" s="423"/>
      <c r="K159" s="423"/>
      <c r="L159" s="423"/>
      <c r="M159" s="423"/>
      <c r="N159" s="423"/>
      <c r="O159" s="423"/>
      <c r="P159" s="423"/>
      <c r="Q159" s="423"/>
      <c r="R159" s="423"/>
      <c r="S159" s="424"/>
    </row>
    <row r="160" spans="1:19" ht="15" customHeight="1">
      <c r="A160" s="248">
        <v>115</v>
      </c>
      <c r="B160" s="425" t="s">
        <v>279</v>
      </c>
      <c r="C160" s="426"/>
      <c r="D160" s="253">
        <v>100</v>
      </c>
      <c r="E160" s="253">
        <v>1.9</v>
      </c>
      <c r="F160" s="253">
        <v>8.9</v>
      </c>
      <c r="G160" s="253">
        <v>7.7</v>
      </c>
      <c r="H160" s="253">
        <v>119</v>
      </c>
      <c r="I160" s="253">
        <v>0.02</v>
      </c>
      <c r="J160" s="253">
        <v>0</v>
      </c>
      <c r="K160" s="253">
        <v>7</v>
      </c>
      <c r="L160" s="253">
        <v>0.02</v>
      </c>
      <c r="M160" s="253"/>
      <c r="N160" s="253">
        <v>41</v>
      </c>
      <c r="O160" s="253">
        <v>37</v>
      </c>
      <c r="P160" s="253"/>
      <c r="Q160" s="253">
        <v>0</v>
      </c>
      <c r="R160" s="253">
        <v>15</v>
      </c>
      <c r="S160" s="253">
        <v>0.7</v>
      </c>
    </row>
    <row r="161" spans="1:19" ht="24" customHeight="1">
      <c r="A161" s="248">
        <v>96</v>
      </c>
      <c r="B161" s="425" t="s">
        <v>280</v>
      </c>
      <c r="C161" s="426"/>
      <c r="D161" s="253">
        <v>250</v>
      </c>
      <c r="E161" s="253">
        <v>2.6</v>
      </c>
      <c r="F161" s="253">
        <v>6.1</v>
      </c>
      <c r="G161" s="253">
        <v>17</v>
      </c>
      <c r="H161" s="253">
        <v>133.69999999999999</v>
      </c>
      <c r="I161" s="253">
        <v>0.12</v>
      </c>
      <c r="J161" s="253">
        <v>7.3999999999999996E-2</v>
      </c>
      <c r="K161" s="253">
        <v>16</v>
      </c>
      <c r="L161" s="253">
        <v>0.04</v>
      </c>
      <c r="M161" s="253">
        <v>0</v>
      </c>
      <c r="N161" s="253">
        <v>25.3</v>
      </c>
      <c r="O161" s="253">
        <v>71.099999999999994</v>
      </c>
      <c r="P161" s="253">
        <v>0</v>
      </c>
      <c r="Q161" s="253">
        <v>0</v>
      </c>
      <c r="R161" s="253">
        <v>26.7</v>
      </c>
      <c r="S161" s="253">
        <v>0.95</v>
      </c>
    </row>
    <row r="162" spans="1:19" ht="15" customHeight="1">
      <c r="A162" s="253">
        <v>266</v>
      </c>
      <c r="B162" s="410" t="s">
        <v>350</v>
      </c>
      <c r="C162" s="411"/>
      <c r="D162" s="253">
        <v>100</v>
      </c>
      <c r="E162" s="253">
        <v>18.5</v>
      </c>
      <c r="F162" s="253">
        <v>25.9</v>
      </c>
      <c r="G162" s="253">
        <v>4.8</v>
      </c>
      <c r="H162" s="253">
        <v>326</v>
      </c>
      <c r="I162" s="253">
        <v>0.23</v>
      </c>
      <c r="J162" s="253">
        <v>0.26300000000000001</v>
      </c>
      <c r="K162" s="253">
        <v>0.5</v>
      </c>
      <c r="L162" s="253">
        <v>0.05</v>
      </c>
      <c r="M162" s="253">
        <v>7.4999999999999997E-2</v>
      </c>
      <c r="N162" s="253">
        <v>60.6</v>
      </c>
      <c r="O162" s="253">
        <v>222.4</v>
      </c>
      <c r="P162" s="253">
        <v>2.85</v>
      </c>
      <c r="Q162" s="253">
        <v>0.05</v>
      </c>
      <c r="R162" s="253">
        <v>30.6</v>
      </c>
      <c r="S162" s="253">
        <v>2.41</v>
      </c>
    </row>
    <row r="163" spans="1:19" ht="15" customHeight="1">
      <c r="A163" s="253">
        <v>312</v>
      </c>
      <c r="B163" s="410" t="s">
        <v>256</v>
      </c>
      <c r="C163" s="411"/>
      <c r="D163" s="253">
        <v>180</v>
      </c>
      <c r="E163" s="253">
        <v>3.95</v>
      </c>
      <c r="F163" s="253">
        <v>8.4700000000000006</v>
      </c>
      <c r="G163" s="253">
        <v>26.65</v>
      </c>
      <c r="H163" s="253">
        <v>198.65</v>
      </c>
      <c r="I163" s="253">
        <v>0.19</v>
      </c>
      <c r="J163" s="253">
        <v>0.16</v>
      </c>
      <c r="K163" s="253">
        <v>31.33</v>
      </c>
      <c r="L163" s="253">
        <v>9.6000000000000002E-2</v>
      </c>
      <c r="M163" s="253">
        <v>1.8</v>
      </c>
      <c r="N163" s="253">
        <v>51.05</v>
      </c>
      <c r="O163" s="253">
        <v>117.3</v>
      </c>
      <c r="P163" s="253">
        <v>0.35899999999999999</v>
      </c>
      <c r="Q163" s="253">
        <v>1E-3</v>
      </c>
      <c r="R163" s="253">
        <v>39.67</v>
      </c>
      <c r="S163" s="253">
        <v>1.43</v>
      </c>
    </row>
    <row r="164" spans="1:19" ht="15" customHeight="1">
      <c r="A164" s="253">
        <v>349</v>
      </c>
      <c r="B164" s="410" t="s">
        <v>351</v>
      </c>
      <c r="C164" s="411"/>
      <c r="D164" s="253">
        <v>200</v>
      </c>
      <c r="E164" s="253">
        <v>0.22</v>
      </c>
      <c r="F164" s="253"/>
      <c r="G164" s="253">
        <v>24.42</v>
      </c>
      <c r="H164" s="253">
        <v>98.56</v>
      </c>
      <c r="I164" s="253"/>
      <c r="J164" s="253"/>
      <c r="K164" s="253">
        <v>0.2</v>
      </c>
      <c r="L164" s="253"/>
      <c r="M164" s="253"/>
      <c r="N164" s="253">
        <v>22.6</v>
      </c>
      <c r="O164" s="253">
        <v>7.7</v>
      </c>
      <c r="P164" s="253">
        <v>0</v>
      </c>
      <c r="Q164" s="253">
        <v>0</v>
      </c>
      <c r="R164" s="253">
        <v>3</v>
      </c>
      <c r="S164" s="253">
        <v>0.66</v>
      </c>
    </row>
    <row r="165" spans="1:19" ht="15" customHeight="1">
      <c r="A165" s="253" t="s">
        <v>224</v>
      </c>
      <c r="B165" s="410" t="s">
        <v>235</v>
      </c>
      <c r="C165" s="411"/>
      <c r="D165" s="253">
        <v>40</v>
      </c>
      <c r="E165" s="253">
        <v>2.64</v>
      </c>
      <c r="F165" s="253">
        <v>0.48</v>
      </c>
      <c r="G165" s="253">
        <v>13.68</v>
      </c>
      <c r="H165" s="253">
        <v>69.599999999999994</v>
      </c>
      <c r="I165" s="253">
        <v>0.08</v>
      </c>
      <c r="J165" s="253">
        <v>0.04</v>
      </c>
      <c r="K165" s="253">
        <v>0</v>
      </c>
      <c r="L165" s="253">
        <v>0</v>
      </c>
      <c r="M165" s="253">
        <v>2.4</v>
      </c>
      <c r="N165" s="253">
        <v>14</v>
      </c>
      <c r="O165" s="253">
        <v>63.2</v>
      </c>
      <c r="P165" s="253">
        <v>1.2</v>
      </c>
      <c r="Q165" s="253">
        <v>1E-3</v>
      </c>
      <c r="R165" s="253">
        <v>9.4</v>
      </c>
      <c r="S165" s="253">
        <v>0.78</v>
      </c>
    </row>
    <row r="166" spans="1:19" ht="15" customHeight="1">
      <c r="A166" s="253" t="s">
        <v>224</v>
      </c>
      <c r="B166" s="410" t="s">
        <v>117</v>
      </c>
      <c r="C166" s="411"/>
      <c r="D166" s="253">
        <v>30</v>
      </c>
      <c r="E166" s="253">
        <v>1.52</v>
      </c>
      <c r="F166" s="253">
        <v>0.16</v>
      </c>
      <c r="G166" s="253">
        <v>9.84</v>
      </c>
      <c r="H166" s="253">
        <v>46.9</v>
      </c>
      <c r="I166" s="253">
        <v>0.02</v>
      </c>
      <c r="J166" s="253">
        <v>0.01</v>
      </c>
      <c r="K166" s="253">
        <v>0.44</v>
      </c>
      <c r="L166" s="253">
        <v>0</v>
      </c>
      <c r="M166" s="253">
        <v>0.7</v>
      </c>
      <c r="N166" s="253">
        <v>4</v>
      </c>
      <c r="O166" s="253">
        <v>13</v>
      </c>
      <c r="P166" s="253">
        <v>8.0000000000000002E-3</v>
      </c>
      <c r="Q166" s="253">
        <v>1E-3</v>
      </c>
      <c r="R166" s="253">
        <v>0</v>
      </c>
      <c r="S166" s="253">
        <v>0.22</v>
      </c>
    </row>
    <row r="167" spans="1:19" ht="15" customHeight="1">
      <c r="A167" s="402" t="s">
        <v>236</v>
      </c>
      <c r="B167" s="403"/>
      <c r="C167" s="404"/>
      <c r="D167" s="250">
        <f>SUM(D160:D166)</f>
        <v>900</v>
      </c>
      <c r="E167" s="250">
        <f t="shared" ref="E167:S167" si="32">SUM(E160:E166)</f>
        <v>31.33</v>
      </c>
      <c r="F167" s="250">
        <f t="shared" si="32"/>
        <v>50.009999999999991</v>
      </c>
      <c r="G167" s="250">
        <f t="shared" si="32"/>
        <v>104.09</v>
      </c>
      <c r="H167" s="250">
        <f t="shared" si="32"/>
        <v>992.41000000000008</v>
      </c>
      <c r="I167" s="250">
        <f t="shared" si="32"/>
        <v>0.66</v>
      </c>
      <c r="J167" s="250">
        <f t="shared" si="32"/>
        <v>0.54700000000000004</v>
      </c>
      <c r="K167" s="250">
        <f t="shared" si="32"/>
        <v>55.47</v>
      </c>
      <c r="L167" s="250">
        <f t="shared" si="32"/>
        <v>0.20600000000000002</v>
      </c>
      <c r="M167" s="250">
        <f t="shared" si="32"/>
        <v>4.9750000000000005</v>
      </c>
      <c r="N167" s="250">
        <f t="shared" si="32"/>
        <v>218.54999999999998</v>
      </c>
      <c r="O167" s="250">
        <f t="shared" si="32"/>
        <v>531.70000000000005</v>
      </c>
      <c r="P167" s="250">
        <f t="shared" si="32"/>
        <v>4.4169999999999998</v>
      </c>
      <c r="Q167" s="250">
        <f t="shared" si="32"/>
        <v>5.3000000000000005E-2</v>
      </c>
      <c r="R167" s="250">
        <f t="shared" si="32"/>
        <v>124.37000000000002</v>
      </c>
      <c r="S167" s="250">
        <f t="shared" si="32"/>
        <v>7.15</v>
      </c>
    </row>
    <row r="168" spans="1:19" ht="15" customHeight="1">
      <c r="A168" s="402" t="s">
        <v>226</v>
      </c>
      <c r="B168" s="403"/>
      <c r="C168" s="403"/>
      <c r="D168" s="404"/>
      <c r="E168" s="174">
        <f t="shared" ref="E168:S168" si="33">E167/E175</f>
        <v>0.34811111111111109</v>
      </c>
      <c r="F168" s="174">
        <f t="shared" si="33"/>
        <v>0.54358695652173905</v>
      </c>
      <c r="G168" s="174">
        <f t="shared" si="33"/>
        <v>0.27177545691906008</v>
      </c>
      <c r="H168" s="174">
        <f t="shared" si="33"/>
        <v>0.36485661764705885</v>
      </c>
      <c r="I168" s="174">
        <f t="shared" si="33"/>
        <v>0.47142857142857147</v>
      </c>
      <c r="J168" s="174">
        <f t="shared" si="33"/>
        <v>0.34187499999999998</v>
      </c>
      <c r="K168" s="174">
        <f t="shared" si="33"/>
        <v>0.79242857142857137</v>
      </c>
      <c r="L168" s="174">
        <f t="shared" si="33"/>
        <v>0.22888888888888889</v>
      </c>
      <c r="M168" s="174">
        <f t="shared" si="33"/>
        <v>0.41458333333333336</v>
      </c>
      <c r="N168" s="174">
        <f t="shared" si="33"/>
        <v>0.18212499999999998</v>
      </c>
      <c r="O168" s="174">
        <f t="shared" si="33"/>
        <v>0.44308333333333338</v>
      </c>
      <c r="P168" s="174">
        <f t="shared" si="33"/>
        <v>0.3155</v>
      </c>
      <c r="Q168" s="174">
        <f t="shared" si="33"/>
        <v>0.53</v>
      </c>
      <c r="R168" s="174">
        <f t="shared" si="33"/>
        <v>0.41456666666666675</v>
      </c>
      <c r="S168" s="174">
        <f t="shared" si="33"/>
        <v>0.39722222222222225</v>
      </c>
    </row>
    <row r="169" spans="1:19" ht="15" customHeight="1">
      <c r="A169" s="422" t="s">
        <v>237</v>
      </c>
      <c r="B169" s="423"/>
      <c r="C169" s="423"/>
      <c r="D169" s="423"/>
      <c r="E169" s="423"/>
      <c r="F169" s="423"/>
      <c r="G169" s="423"/>
      <c r="H169" s="423"/>
      <c r="I169" s="423"/>
      <c r="J169" s="423"/>
      <c r="K169" s="423"/>
      <c r="L169" s="423"/>
      <c r="M169" s="423"/>
      <c r="N169" s="423"/>
      <c r="O169" s="423"/>
      <c r="P169" s="423"/>
      <c r="Q169" s="423"/>
      <c r="R169" s="423"/>
      <c r="S169" s="424"/>
    </row>
    <row r="170" spans="1:19" ht="15" customHeight="1">
      <c r="A170" s="253" t="s">
        <v>224</v>
      </c>
      <c r="B170" s="410" t="s">
        <v>282</v>
      </c>
      <c r="C170" s="411"/>
      <c r="D170" s="253">
        <v>65</v>
      </c>
      <c r="E170" s="253">
        <v>4.16</v>
      </c>
      <c r="F170" s="253">
        <v>8.14</v>
      </c>
      <c r="G170" s="253">
        <v>33.799999999999997</v>
      </c>
      <c r="H170" s="253">
        <v>225.34</v>
      </c>
      <c r="I170" s="253">
        <v>0.06</v>
      </c>
      <c r="J170" s="253">
        <v>0.05</v>
      </c>
      <c r="K170" s="253">
        <v>0</v>
      </c>
      <c r="L170" s="253">
        <v>0.06</v>
      </c>
      <c r="M170" s="253"/>
      <c r="N170" s="253">
        <v>11.26</v>
      </c>
      <c r="O170" s="253">
        <v>0</v>
      </c>
      <c r="P170" s="253"/>
      <c r="Q170" s="253">
        <v>0</v>
      </c>
      <c r="R170" s="253">
        <v>0</v>
      </c>
      <c r="S170" s="253">
        <v>0.6</v>
      </c>
    </row>
    <row r="171" spans="1:19" ht="15" customHeight="1">
      <c r="A171" s="248">
        <v>389</v>
      </c>
      <c r="B171" s="425" t="s">
        <v>283</v>
      </c>
      <c r="C171" s="426"/>
      <c r="D171" s="248">
        <v>200</v>
      </c>
      <c r="E171" s="248">
        <v>1</v>
      </c>
      <c r="F171" s="248">
        <v>0.2</v>
      </c>
      <c r="G171" s="248">
        <v>20.2</v>
      </c>
      <c r="H171" s="248">
        <v>87</v>
      </c>
      <c r="I171" s="248">
        <v>0</v>
      </c>
      <c r="J171" s="248">
        <v>0.08</v>
      </c>
      <c r="K171" s="248">
        <v>4</v>
      </c>
      <c r="L171" s="248">
        <v>0</v>
      </c>
      <c r="M171" s="248">
        <v>0</v>
      </c>
      <c r="N171" s="248">
        <v>31.1</v>
      </c>
      <c r="O171" s="248">
        <v>18</v>
      </c>
      <c r="P171" s="248">
        <v>0</v>
      </c>
      <c r="Q171" s="248">
        <v>0</v>
      </c>
      <c r="R171" s="248">
        <v>8</v>
      </c>
      <c r="S171" s="248">
        <v>0.72</v>
      </c>
    </row>
    <row r="172" spans="1:19" ht="15" customHeight="1">
      <c r="A172" s="413" t="s">
        <v>240</v>
      </c>
      <c r="B172" s="414"/>
      <c r="C172" s="415"/>
      <c r="D172" s="250">
        <f>D170+D171</f>
        <v>265</v>
      </c>
      <c r="E172" s="250">
        <f t="shared" ref="E172:S172" si="34">E170+E171</f>
        <v>5.16</v>
      </c>
      <c r="F172" s="250">
        <f t="shared" si="34"/>
        <v>8.34</v>
      </c>
      <c r="G172" s="250">
        <f t="shared" si="34"/>
        <v>54</v>
      </c>
      <c r="H172" s="250">
        <f t="shared" si="34"/>
        <v>312.34000000000003</v>
      </c>
      <c r="I172" s="250">
        <f t="shared" si="34"/>
        <v>0.06</v>
      </c>
      <c r="J172" s="250">
        <f t="shared" si="34"/>
        <v>0.13</v>
      </c>
      <c r="K172" s="250">
        <f t="shared" si="34"/>
        <v>4</v>
      </c>
      <c r="L172" s="250">
        <f t="shared" si="34"/>
        <v>0.06</v>
      </c>
      <c r="M172" s="250">
        <f t="shared" si="34"/>
        <v>0</v>
      </c>
      <c r="N172" s="250">
        <f t="shared" si="34"/>
        <v>42.36</v>
      </c>
      <c r="O172" s="250">
        <f t="shared" si="34"/>
        <v>18</v>
      </c>
      <c r="P172" s="250">
        <f t="shared" si="34"/>
        <v>0</v>
      </c>
      <c r="Q172" s="250">
        <f t="shared" si="34"/>
        <v>0</v>
      </c>
      <c r="R172" s="250">
        <f t="shared" si="34"/>
        <v>8</v>
      </c>
      <c r="S172" s="250">
        <f t="shared" si="34"/>
        <v>1.3199999999999998</v>
      </c>
    </row>
    <row r="173" spans="1:19" ht="15" customHeight="1">
      <c r="A173" s="402" t="s">
        <v>226</v>
      </c>
      <c r="B173" s="403"/>
      <c r="C173" s="403"/>
      <c r="D173" s="404"/>
      <c r="E173" s="174">
        <f>E172/E175</f>
        <v>5.7333333333333333E-2</v>
      </c>
      <c r="F173" s="174">
        <f t="shared" ref="F173:S173" si="35">F172/F175</f>
        <v>9.0652173913043477E-2</v>
      </c>
      <c r="G173" s="174">
        <f t="shared" si="35"/>
        <v>0.14099216710182769</v>
      </c>
      <c r="H173" s="174">
        <f t="shared" si="35"/>
        <v>0.11483088235294119</v>
      </c>
      <c r="I173" s="174">
        <f t="shared" si="35"/>
        <v>4.2857142857142858E-2</v>
      </c>
      <c r="J173" s="174">
        <f t="shared" si="35"/>
        <v>8.1250000000000003E-2</v>
      </c>
      <c r="K173" s="174">
        <f t="shared" si="35"/>
        <v>5.7142857142857141E-2</v>
      </c>
      <c r="L173" s="174">
        <f t="shared" si="35"/>
        <v>6.6666666666666666E-2</v>
      </c>
      <c r="M173" s="174">
        <f t="shared" si="35"/>
        <v>0</v>
      </c>
      <c r="N173" s="174">
        <f t="shared" si="35"/>
        <v>3.5299999999999998E-2</v>
      </c>
      <c r="O173" s="174">
        <f t="shared" si="35"/>
        <v>1.4999999999999999E-2</v>
      </c>
      <c r="P173" s="174">
        <f t="shared" si="35"/>
        <v>0</v>
      </c>
      <c r="Q173" s="174">
        <f t="shared" si="35"/>
        <v>0</v>
      </c>
      <c r="R173" s="174">
        <f t="shared" si="35"/>
        <v>2.6666666666666668E-2</v>
      </c>
      <c r="S173" s="174">
        <f t="shared" si="35"/>
        <v>7.333333333333332E-2</v>
      </c>
    </row>
    <row r="174" spans="1:19" ht="15" customHeight="1">
      <c r="A174" s="402" t="s">
        <v>241</v>
      </c>
      <c r="B174" s="403"/>
      <c r="C174" s="403"/>
      <c r="D174" s="404"/>
      <c r="E174" s="250">
        <v>60.4</v>
      </c>
      <c r="F174" s="250">
        <v>69</v>
      </c>
      <c r="G174" s="250">
        <v>236.2</v>
      </c>
      <c r="H174" s="250">
        <v>1801.5</v>
      </c>
      <c r="I174" s="250">
        <v>1.1399999999999999</v>
      </c>
      <c r="J174" s="250">
        <v>1.1499999999999999</v>
      </c>
      <c r="K174" s="250">
        <v>80.400000000000006</v>
      </c>
      <c r="L174" s="250">
        <v>0.46</v>
      </c>
      <c r="M174" s="250">
        <v>8.69</v>
      </c>
      <c r="N174" s="250">
        <v>516.79999999999995</v>
      </c>
      <c r="O174" s="250">
        <v>989.6</v>
      </c>
      <c r="P174" s="250">
        <v>9.1</v>
      </c>
      <c r="Q174" s="250">
        <v>0.10199999999999999</v>
      </c>
      <c r="R174" s="250">
        <v>212.85</v>
      </c>
      <c r="S174" s="250">
        <v>15</v>
      </c>
    </row>
    <row r="175" spans="1:19" ht="15" customHeight="1">
      <c r="A175" s="402" t="s">
        <v>242</v>
      </c>
      <c r="B175" s="403"/>
      <c r="C175" s="403"/>
      <c r="D175" s="404"/>
      <c r="E175" s="253">
        <v>90</v>
      </c>
      <c r="F175" s="253">
        <v>92</v>
      </c>
      <c r="G175" s="253">
        <v>383</v>
      </c>
      <c r="H175" s="253">
        <v>2720</v>
      </c>
      <c r="I175" s="253">
        <v>1.4</v>
      </c>
      <c r="J175" s="253">
        <v>1.6</v>
      </c>
      <c r="K175" s="253">
        <v>70</v>
      </c>
      <c r="L175" s="253">
        <v>0.9</v>
      </c>
      <c r="M175" s="253">
        <v>12</v>
      </c>
      <c r="N175" s="253">
        <v>1200</v>
      </c>
      <c r="O175" s="253">
        <v>1200</v>
      </c>
      <c r="P175" s="253">
        <v>14</v>
      </c>
      <c r="Q175" s="253">
        <v>0.1</v>
      </c>
      <c r="R175" s="253">
        <v>300</v>
      </c>
      <c r="S175" s="253">
        <v>18</v>
      </c>
    </row>
    <row r="176" spans="1:19" ht="15" customHeight="1">
      <c r="A176" s="402" t="s">
        <v>226</v>
      </c>
      <c r="B176" s="403"/>
      <c r="C176" s="403"/>
      <c r="D176" s="404"/>
      <c r="E176" s="174">
        <v>0.67100000000000004</v>
      </c>
      <c r="F176" s="174">
        <v>0.75</v>
      </c>
      <c r="G176" s="174">
        <v>0.61699999999999999</v>
      </c>
      <c r="H176" s="174">
        <v>0.66200000000000003</v>
      </c>
      <c r="I176" s="174">
        <v>0.81799999999999995</v>
      </c>
      <c r="J176" s="174">
        <v>0.71599999999999997</v>
      </c>
      <c r="K176" s="174">
        <v>1.1479999999999999</v>
      </c>
      <c r="L176" s="242">
        <v>0.51</v>
      </c>
      <c r="M176" s="242">
        <v>0.72</v>
      </c>
      <c r="N176" s="174">
        <v>0.43099999999999999</v>
      </c>
      <c r="O176" s="174">
        <v>0.82499999999999996</v>
      </c>
      <c r="P176" s="174">
        <v>0.65</v>
      </c>
      <c r="Q176" s="242">
        <v>1.02</v>
      </c>
      <c r="R176" s="174">
        <v>0.71</v>
      </c>
      <c r="S176" s="174">
        <v>0.83299999999999996</v>
      </c>
    </row>
    <row r="179" spans="1:19">
      <c r="A179" s="416" t="s">
        <v>317</v>
      </c>
      <c r="B179" s="416"/>
      <c r="C179" s="416"/>
      <c r="D179" s="416"/>
      <c r="E179" s="416"/>
      <c r="F179" s="416"/>
      <c r="G179" s="416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>
      <c r="A180" s="405" t="s">
        <v>189</v>
      </c>
      <c r="B180" s="405"/>
      <c r="C180" s="253"/>
      <c r="D180" s="253"/>
      <c r="E180" s="253"/>
      <c r="F180" s="445" t="s">
        <v>357</v>
      </c>
      <c r="G180" s="445"/>
      <c r="H180" s="445"/>
      <c r="I180" s="253"/>
      <c r="J180" s="253"/>
      <c r="K180" s="405" t="s">
        <v>191</v>
      </c>
      <c r="L180" s="405"/>
      <c r="M180" s="419" t="s">
        <v>192</v>
      </c>
      <c r="N180" s="419"/>
      <c r="O180" s="419"/>
      <c r="P180" s="419"/>
      <c r="Q180" s="253"/>
      <c r="R180" s="253"/>
      <c r="S180" s="253"/>
    </row>
    <row r="181" spans="1:19">
      <c r="A181" s="253"/>
      <c r="B181" s="253"/>
      <c r="C181" s="253"/>
      <c r="D181" s="416" t="s">
        <v>194</v>
      </c>
      <c r="E181" s="416"/>
      <c r="F181" s="253">
        <v>2</v>
      </c>
      <c r="G181" s="253"/>
      <c r="H181" s="253"/>
      <c r="I181" s="253"/>
      <c r="J181" s="253"/>
      <c r="K181" s="405" t="s">
        <v>195</v>
      </c>
      <c r="L181" s="405"/>
      <c r="M181" s="419" t="s">
        <v>347</v>
      </c>
      <c r="N181" s="419"/>
      <c r="O181" s="419"/>
      <c r="P181" s="419"/>
      <c r="Q181" s="419"/>
      <c r="R181" s="419"/>
      <c r="S181" s="419"/>
    </row>
    <row r="182" spans="1:19">
      <c r="A182" s="256" t="s">
        <v>0</v>
      </c>
      <c r="B182" s="444" t="s">
        <v>198</v>
      </c>
      <c r="C182" s="444"/>
      <c r="D182" s="444" t="s">
        <v>199</v>
      </c>
      <c r="E182" s="444" t="s">
        <v>200</v>
      </c>
      <c r="F182" s="444"/>
      <c r="G182" s="444"/>
      <c r="H182" s="256" t="s">
        <v>201</v>
      </c>
      <c r="I182" s="444" t="s">
        <v>202</v>
      </c>
      <c r="J182" s="444"/>
      <c r="K182" s="444"/>
      <c r="L182" s="444"/>
      <c r="M182" s="444"/>
      <c r="N182" s="444" t="s">
        <v>203</v>
      </c>
      <c r="O182" s="444"/>
      <c r="P182" s="444"/>
      <c r="Q182" s="444"/>
      <c r="R182" s="444"/>
      <c r="S182" s="444"/>
    </row>
    <row r="183" spans="1:19" ht="38.25">
      <c r="A183" s="256" t="s">
        <v>245</v>
      </c>
      <c r="B183" s="444"/>
      <c r="C183" s="444"/>
      <c r="D183" s="444"/>
      <c r="E183" s="256" t="s">
        <v>204</v>
      </c>
      <c r="F183" s="256" t="s">
        <v>205</v>
      </c>
      <c r="G183" s="256" t="s">
        <v>206</v>
      </c>
      <c r="H183" s="256" t="s">
        <v>207</v>
      </c>
      <c r="I183" s="256" t="s">
        <v>208</v>
      </c>
      <c r="J183" s="256" t="s">
        <v>209</v>
      </c>
      <c r="K183" s="256" t="s">
        <v>210</v>
      </c>
      <c r="L183" s="256" t="s">
        <v>211</v>
      </c>
      <c r="M183" s="256" t="s">
        <v>212</v>
      </c>
      <c r="N183" s="256" t="s">
        <v>213</v>
      </c>
      <c r="O183" s="256" t="s">
        <v>214</v>
      </c>
      <c r="P183" s="256" t="s">
        <v>215</v>
      </c>
      <c r="Q183" s="256" t="s">
        <v>216</v>
      </c>
      <c r="R183" s="256" t="s">
        <v>217</v>
      </c>
      <c r="S183" s="256" t="s">
        <v>218</v>
      </c>
    </row>
    <row r="184" spans="1:19">
      <c r="A184" s="254">
        <v>1</v>
      </c>
      <c r="B184" s="418">
        <v>2</v>
      </c>
      <c r="C184" s="418"/>
      <c r="D184" s="254">
        <v>3</v>
      </c>
      <c r="E184" s="254">
        <v>4</v>
      </c>
      <c r="F184" s="254">
        <v>5</v>
      </c>
      <c r="G184" s="254">
        <v>6</v>
      </c>
      <c r="H184" s="254">
        <v>7</v>
      </c>
      <c r="I184" s="254">
        <v>8</v>
      </c>
      <c r="J184" s="254">
        <v>9</v>
      </c>
      <c r="K184" s="254">
        <v>10</v>
      </c>
      <c r="L184" s="254">
        <v>11</v>
      </c>
      <c r="M184" s="254">
        <v>12</v>
      </c>
      <c r="N184" s="254">
        <v>13</v>
      </c>
      <c r="O184" s="254">
        <v>14</v>
      </c>
      <c r="P184" s="254">
        <v>15</v>
      </c>
      <c r="Q184" s="254">
        <v>16</v>
      </c>
      <c r="R184" s="254">
        <v>17</v>
      </c>
      <c r="S184" s="254">
        <v>18</v>
      </c>
    </row>
    <row r="185" spans="1:19">
      <c r="A185" s="416" t="s">
        <v>364</v>
      </c>
      <c r="B185" s="416"/>
      <c r="C185" s="416"/>
      <c r="D185" s="416"/>
      <c r="E185" s="416"/>
      <c r="F185" s="416"/>
      <c r="G185" s="416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ht="15" customHeight="1">
      <c r="A186" s="450" t="s">
        <v>219</v>
      </c>
      <c r="B186" s="450"/>
      <c r="C186" s="450"/>
      <c r="D186" s="450"/>
      <c r="E186" s="450"/>
      <c r="F186" s="450"/>
      <c r="G186" s="450"/>
      <c r="H186" s="450"/>
      <c r="I186" s="450"/>
      <c r="J186" s="450"/>
      <c r="K186" s="450"/>
      <c r="L186" s="450"/>
      <c r="M186" s="450"/>
      <c r="N186" s="450"/>
      <c r="O186" s="450"/>
      <c r="P186" s="450"/>
      <c r="Q186" s="450"/>
      <c r="R186" s="450"/>
      <c r="S186" s="450"/>
    </row>
    <row r="187" spans="1:19" ht="42" customHeight="1">
      <c r="A187" s="310">
        <v>338</v>
      </c>
      <c r="B187" s="406" t="s">
        <v>220</v>
      </c>
      <c r="C187" s="406"/>
      <c r="D187" s="310">
        <v>100</v>
      </c>
      <c r="E187" s="310">
        <v>0.4</v>
      </c>
      <c r="F187" s="310">
        <v>0.4</v>
      </c>
      <c r="G187" s="310">
        <v>9.8000000000000007</v>
      </c>
      <c r="H187" s="310">
        <v>42</v>
      </c>
      <c r="I187" s="310">
        <v>0.04</v>
      </c>
      <c r="J187" s="310">
        <v>0.02</v>
      </c>
      <c r="K187" s="310">
        <v>10</v>
      </c>
      <c r="L187" s="310">
        <v>0</v>
      </c>
      <c r="M187" s="310">
        <v>0.2</v>
      </c>
      <c r="N187" s="310">
        <v>16</v>
      </c>
      <c r="O187" s="310">
        <v>11</v>
      </c>
      <c r="P187" s="310">
        <v>0</v>
      </c>
      <c r="Q187" s="310">
        <v>0</v>
      </c>
      <c r="R187" s="310">
        <v>9</v>
      </c>
      <c r="S187" s="310">
        <v>2.2000000000000002</v>
      </c>
    </row>
    <row r="188" spans="1:19" ht="15" customHeight="1">
      <c r="A188" s="310">
        <v>15</v>
      </c>
      <c r="B188" s="406" t="s">
        <v>221</v>
      </c>
      <c r="C188" s="406"/>
      <c r="D188" s="310">
        <v>20</v>
      </c>
      <c r="E188" s="310">
        <v>4.6399999999999997</v>
      </c>
      <c r="F188" s="310">
        <v>6.8</v>
      </c>
      <c r="G188" s="310">
        <v>0.02</v>
      </c>
      <c r="H188" s="310">
        <v>79.8</v>
      </c>
      <c r="I188" s="310">
        <v>0.01</v>
      </c>
      <c r="J188" s="310">
        <v>0.06</v>
      </c>
      <c r="K188" s="310">
        <v>0.14000000000000001</v>
      </c>
      <c r="L188" s="310">
        <v>4.5999999999999999E-2</v>
      </c>
      <c r="M188" s="310">
        <v>0.1</v>
      </c>
      <c r="N188" s="310">
        <v>176</v>
      </c>
      <c r="O188" s="310">
        <v>100</v>
      </c>
      <c r="P188" s="310">
        <v>0.8</v>
      </c>
      <c r="Q188" s="310">
        <v>0.04</v>
      </c>
      <c r="R188" s="310">
        <v>7</v>
      </c>
      <c r="S188" s="310">
        <v>0.26</v>
      </c>
    </row>
    <row r="189" spans="1:19" ht="15" customHeight="1">
      <c r="A189" s="310">
        <v>173</v>
      </c>
      <c r="B189" s="406" t="s">
        <v>222</v>
      </c>
      <c r="C189" s="406"/>
      <c r="D189" s="310">
        <v>250</v>
      </c>
      <c r="E189" s="310">
        <v>9.0380000000000003</v>
      </c>
      <c r="F189" s="310">
        <v>12.263</v>
      </c>
      <c r="G189" s="310">
        <v>36</v>
      </c>
      <c r="H189" s="310">
        <v>290.51</v>
      </c>
      <c r="I189" s="310">
        <v>0.27500000000000002</v>
      </c>
      <c r="J189" s="310">
        <v>0.25</v>
      </c>
      <c r="K189" s="310">
        <v>1.625</v>
      </c>
      <c r="L189" s="310">
        <v>0.1</v>
      </c>
      <c r="M189" s="310">
        <v>0</v>
      </c>
      <c r="N189" s="310">
        <v>178.22499999999999</v>
      </c>
      <c r="O189" s="310">
        <v>277.97500000000002</v>
      </c>
      <c r="P189" s="310">
        <v>0</v>
      </c>
      <c r="Q189" s="310">
        <v>1E-3</v>
      </c>
      <c r="R189" s="310">
        <v>82.113</v>
      </c>
      <c r="S189" s="310">
        <v>1.913</v>
      </c>
    </row>
    <row r="190" spans="1:19" ht="22.5" customHeight="1">
      <c r="A190" s="310">
        <v>382</v>
      </c>
      <c r="B190" s="406" t="s">
        <v>223</v>
      </c>
      <c r="C190" s="406"/>
      <c r="D190" s="310">
        <v>200</v>
      </c>
      <c r="E190" s="310">
        <v>3.5</v>
      </c>
      <c r="F190" s="310">
        <v>3.7</v>
      </c>
      <c r="G190" s="310">
        <v>25.5</v>
      </c>
      <c r="H190" s="310">
        <v>149.30000000000001</v>
      </c>
      <c r="I190" s="310">
        <v>0.06</v>
      </c>
      <c r="J190" s="310">
        <v>0.01</v>
      </c>
      <c r="K190" s="310">
        <v>1.6</v>
      </c>
      <c r="L190" s="310">
        <v>0.04</v>
      </c>
      <c r="M190" s="310">
        <v>0.4</v>
      </c>
      <c r="N190" s="310">
        <v>102.6</v>
      </c>
      <c r="O190" s="310">
        <v>178.4</v>
      </c>
      <c r="P190" s="310">
        <v>1</v>
      </c>
      <c r="Q190" s="310">
        <v>1.2999999999999999E-2</v>
      </c>
      <c r="R190" s="310">
        <v>24.8</v>
      </c>
      <c r="S190" s="310">
        <v>1</v>
      </c>
    </row>
    <row r="191" spans="1:19" ht="15" customHeight="1">
      <c r="A191" s="310" t="s">
        <v>224</v>
      </c>
      <c r="B191" s="406" t="s">
        <v>161</v>
      </c>
      <c r="C191" s="406"/>
      <c r="D191" s="310">
        <v>40</v>
      </c>
      <c r="E191" s="310">
        <v>3.04</v>
      </c>
      <c r="F191" s="310">
        <v>0.32</v>
      </c>
      <c r="G191" s="310">
        <v>19.68</v>
      </c>
      <c r="H191" s="310">
        <v>88.8</v>
      </c>
      <c r="I191" s="310">
        <v>0.04</v>
      </c>
      <c r="J191" s="310">
        <v>0.01</v>
      </c>
      <c r="K191" s="310">
        <v>0.88</v>
      </c>
      <c r="L191" s="310">
        <v>0</v>
      </c>
      <c r="M191" s="310">
        <v>0.7</v>
      </c>
      <c r="N191" s="310">
        <v>8</v>
      </c>
      <c r="O191" s="310">
        <v>26</v>
      </c>
      <c r="P191" s="310">
        <v>8.0000000000000002E-3</v>
      </c>
      <c r="Q191" s="310">
        <v>3.0000000000000001E-3</v>
      </c>
      <c r="R191" s="310">
        <v>0</v>
      </c>
      <c r="S191" s="310">
        <v>0.44</v>
      </c>
    </row>
    <row r="192" spans="1:19" ht="15" customHeight="1">
      <c r="A192" s="413" t="s">
        <v>225</v>
      </c>
      <c r="B192" s="414"/>
      <c r="C192" s="415"/>
      <c r="D192" s="301">
        <f>SUM(D187:D191)</f>
        <v>610</v>
      </c>
      <c r="E192" s="301">
        <f t="shared" ref="E192:S192" si="36">SUM(E187:E191)</f>
        <v>20.617999999999999</v>
      </c>
      <c r="F192" s="301">
        <f t="shared" si="36"/>
        <v>23.483000000000001</v>
      </c>
      <c r="G192" s="301">
        <f t="shared" si="36"/>
        <v>91</v>
      </c>
      <c r="H192" s="301">
        <f t="shared" si="36"/>
        <v>650.41</v>
      </c>
      <c r="I192" s="301">
        <f t="shared" si="36"/>
        <v>0.42499999999999999</v>
      </c>
      <c r="J192" s="301">
        <f t="shared" si="36"/>
        <v>0.35000000000000003</v>
      </c>
      <c r="K192" s="301">
        <f t="shared" si="36"/>
        <v>14.245000000000001</v>
      </c>
      <c r="L192" s="301">
        <f t="shared" si="36"/>
        <v>0.18600000000000003</v>
      </c>
      <c r="M192" s="301">
        <f t="shared" si="36"/>
        <v>1.4</v>
      </c>
      <c r="N192" s="301">
        <f t="shared" si="36"/>
        <v>480.82500000000005</v>
      </c>
      <c r="O192" s="301">
        <f t="shared" si="36"/>
        <v>593.375</v>
      </c>
      <c r="P192" s="301">
        <f t="shared" si="36"/>
        <v>1.8080000000000001</v>
      </c>
      <c r="Q192" s="301">
        <f t="shared" si="36"/>
        <v>5.7000000000000002E-2</v>
      </c>
      <c r="R192" s="301">
        <f t="shared" si="36"/>
        <v>122.913</v>
      </c>
      <c r="S192" s="301">
        <f t="shared" si="36"/>
        <v>5.8130000000000006</v>
      </c>
    </row>
    <row r="193" spans="1:19" ht="15" customHeight="1">
      <c r="A193" s="405" t="s">
        <v>226</v>
      </c>
      <c r="B193" s="405"/>
      <c r="C193" s="405"/>
      <c r="D193" s="405"/>
      <c r="E193" s="174">
        <f t="shared" ref="E193:S193" si="37">E192/E211</f>
        <v>146.80537974683543</v>
      </c>
      <c r="F193" s="174">
        <f t="shared" si="37"/>
        <v>357.09685950413217</v>
      </c>
      <c r="G193" s="174">
        <f t="shared" si="37"/>
        <v>323.76219228982819</v>
      </c>
      <c r="H193" s="174">
        <f t="shared" si="37"/>
        <v>3329.1592021076399</v>
      </c>
      <c r="I193" s="174">
        <f t="shared" si="37"/>
        <v>3.7187499999999996</v>
      </c>
      <c r="J193" s="174">
        <f t="shared" si="37"/>
        <v>9.3333333333333339</v>
      </c>
      <c r="K193" s="174">
        <f t="shared" si="37"/>
        <v>656.01973684210532</v>
      </c>
      <c r="L193" s="174">
        <f t="shared" si="37"/>
        <v>1.6740000000000002</v>
      </c>
      <c r="M193" s="174">
        <f t="shared" si="37"/>
        <v>12</v>
      </c>
      <c r="N193" s="174">
        <f t="shared" si="37"/>
        <v>11364.782351782549</v>
      </c>
      <c r="O193" s="174">
        <f t="shared" si="37"/>
        <v>15247.323340471092</v>
      </c>
      <c r="P193" s="174">
        <f t="shared" si="37"/>
        <v>1582</v>
      </c>
      <c r="Q193" s="174">
        <f t="shared" si="37"/>
        <v>1.425</v>
      </c>
      <c r="R193" s="174">
        <f t="shared" si="37"/>
        <v>2598.5835095137418</v>
      </c>
      <c r="S193" s="174">
        <f t="shared" si="37"/>
        <v>47.132432432432431</v>
      </c>
    </row>
    <row r="194" spans="1:19" ht="15" customHeight="1">
      <c r="A194" s="416" t="s">
        <v>227</v>
      </c>
      <c r="B194" s="416"/>
      <c r="C194" s="416"/>
      <c r="D194" s="416"/>
      <c r="E194" s="416"/>
      <c r="F194" s="416"/>
      <c r="G194" s="416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ht="15" customHeight="1">
      <c r="A195" s="310" t="s">
        <v>228</v>
      </c>
      <c r="B195" s="406" t="s">
        <v>229</v>
      </c>
      <c r="C195" s="406"/>
      <c r="D195" s="310">
        <v>100</v>
      </c>
      <c r="E195" s="310">
        <v>1.71</v>
      </c>
      <c r="F195" s="310">
        <v>5</v>
      </c>
      <c r="G195" s="310">
        <v>8.4600000000000009</v>
      </c>
      <c r="H195" s="310">
        <v>85.7</v>
      </c>
      <c r="I195" s="310">
        <v>0.02</v>
      </c>
      <c r="J195" s="310">
        <v>0.03</v>
      </c>
      <c r="K195" s="310">
        <v>19.809999999999999</v>
      </c>
      <c r="L195" s="310">
        <v>0.02</v>
      </c>
      <c r="M195" s="310"/>
      <c r="N195" s="310">
        <v>52.24</v>
      </c>
      <c r="O195" s="310">
        <v>33.950000000000003</v>
      </c>
      <c r="P195" s="310"/>
      <c r="Q195" s="310">
        <v>0</v>
      </c>
      <c r="R195" s="310">
        <v>16.010000000000002</v>
      </c>
      <c r="S195" s="310">
        <v>0.67</v>
      </c>
    </row>
    <row r="196" spans="1:19" ht="15" customHeight="1">
      <c r="A196" s="310">
        <v>45</v>
      </c>
      <c r="B196" s="406" t="s">
        <v>230</v>
      </c>
      <c r="C196" s="406"/>
      <c r="D196" s="310">
        <v>100</v>
      </c>
      <c r="E196" s="310">
        <v>1.5</v>
      </c>
      <c r="F196" s="310">
        <v>2.1829999999999998</v>
      </c>
      <c r="G196" s="310">
        <v>9.33</v>
      </c>
      <c r="H196" s="310">
        <v>62.982999999999997</v>
      </c>
      <c r="I196" s="310">
        <v>0.1</v>
      </c>
      <c r="J196" s="310">
        <v>0.11700000000000001</v>
      </c>
      <c r="K196" s="310">
        <v>25.832999999999998</v>
      </c>
      <c r="L196" s="310">
        <v>0.11799999999999999</v>
      </c>
      <c r="M196" s="310">
        <v>0.5</v>
      </c>
      <c r="N196" s="310">
        <v>47</v>
      </c>
      <c r="O196" s="310">
        <v>31.5</v>
      </c>
      <c r="P196" s="310">
        <v>0.33</v>
      </c>
      <c r="Q196" s="310">
        <v>2E-3</v>
      </c>
      <c r="R196" s="310">
        <v>17.5</v>
      </c>
      <c r="S196" s="310">
        <v>1</v>
      </c>
    </row>
    <row r="197" spans="1:19" ht="15" customHeight="1">
      <c r="A197" s="310">
        <v>102</v>
      </c>
      <c r="B197" s="406" t="s">
        <v>231</v>
      </c>
      <c r="C197" s="406"/>
      <c r="D197" s="310" t="s">
        <v>348</v>
      </c>
      <c r="E197" s="310">
        <v>5.49</v>
      </c>
      <c r="F197" s="310">
        <v>5.28</v>
      </c>
      <c r="G197" s="310">
        <v>16.329999999999998</v>
      </c>
      <c r="H197" s="310">
        <v>134.75</v>
      </c>
      <c r="I197" s="310">
        <v>0.23</v>
      </c>
      <c r="J197" s="310"/>
      <c r="K197" s="310"/>
      <c r="L197" s="310"/>
      <c r="M197" s="310"/>
      <c r="N197" s="310">
        <v>38.08</v>
      </c>
      <c r="O197" s="310"/>
      <c r="P197" s="310"/>
      <c r="Q197" s="310"/>
      <c r="R197" s="310">
        <v>35.299999999999997</v>
      </c>
      <c r="S197" s="310">
        <v>2.0299999999999998</v>
      </c>
    </row>
    <row r="198" spans="1:19" ht="15" customHeight="1">
      <c r="A198" s="310">
        <v>260</v>
      </c>
      <c r="B198" s="406" t="s">
        <v>232</v>
      </c>
      <c r="C198" s="406"/>
      <c r="D198" s="310">
        <v>100</v>
      </c>
      <c r="E198" s="310">
        <v>12.55</v>
      </c>
      <c r="F198" s="310">
        <v>12.99</v>
      </c>
      <c r="G198" s="310">
        <v>4.01</v>
      </c>
      <c r="H198" s="310">
        <v>182.25</v>
      </c>
      <c r="I198" s="310">
        <v>7.0000000000000007E-2</v>
      </c>
      <c r="J198" s="310">
        <v>0.11</v>
      </c>
      <c r="K198" s="310">
        <v>5.07</v>
      </c>
      <c r="L198" s="310">
        <v>1.49</v>
      </c>
      <c r="M198" s="310">
        <v>2.25</v>
      </c>
      <c r="N198" s="310">
        <v>30.52</v>
      </c>
      <c r="O198" s="310">
        <v>119.19</v>
      </c>
      <c r="P198" s="310"/>
      <c r="Q198" s="310"/>
      <c r="R198" s="310">
        <v>24.03</v>
      </c>
      <c r="S198" s="310">
        <v>2.1</v>
      </c>
    </row>
    <row r="199" spans="1:19" ht="15" customHeight="1">
      <c r="A199" s="310">
        <v>203</v>
      </c>
      <c r="B199" s="406" t="s">
        <v>233</v>
      </c>
      <c r="C199" s="406"/>
      <c r="D199" s="310">
        <v>180</v>
      </c>
      <c r="E199" s="310">
        <v>6.84</v>
      </c>
      <c r="F199" s="310">
        <v>4.1159999999999997</v>
      </c>
      <c r="G199" s="310">
        <v>43.74</v>
      </c>
      <c r="H199" s="310">
        <v>239.364</v>
      </c>
      <c r="I199" s="310">
        <v>0.108</v>
      </c>
      <c r="J199" s="310">
        <v>3.5999999999999997E-2</v>
      </c>
      <c r="K199" s="310">
        <v>0</v>
      </c>
      <c r="L199" s="310">
        <v>3.5999999999999997E-2</v>
      </c>
      <c r="M199" s="310">
        <v>1.5</v>
      </c>
      <c r="N199" s="310">
        <v>15.94</v>
      </c>
      <c r="O199" s="310">
        <v>55.45</v>
      </c>
      <c r="P199" s="310">
        <v>0.94</v>
      </c>
      <c r="Q199" s="310">
        <v>2E-3</v>
      </c>
      <c r="R199" s="310">
        <v>10.16</v>
      </c>
      <c r="S199" s="310">
        <v>1.03</v>
      </c>
    </row>
    <row r="200" spans="1:19" ht="15" customHeight="1">
      <c r="A200" s="310">
        <v>377</v>
      </c>
      <c r="B200" s="410" t="s">
        <v>149</v>
      </c>
      <c r="C200" s="411"/>
      <c r="D200" s="310" t="s">
        <v>234</v>
      </c>
      <c r="E200" s="310">
        <v>0.26</v>
      </c>
      <c r="F200" s="310">
        <v>0.06</v>
      </c>
      <c r="G200" s="310">
        <v>15.22</v>
      </c>
      <c r="H200" s="310">
        <v>62.5</v>
      </c>
      <c r="I200" s="310"/>
      <c r="J200" s="310">
        <v>0.01</v>
      </c>
      <c r="K200" s="310">
        <v>2.9</v>
      </c>
      <c r="L200" s="310">
        <v>0</v>
      </c>
      <c r="M200" s="310">
        <v>0.06</v>
      </c>
      <c r="N200" s="310">
        <v>8.0500000000000007</v>
      </c>
      <c r="O200" s="310">
        <v>9.7799999999999994</v>
      </c>
      <c r="P200" s="310">
        <v>0.02</v>
      </c>
      <c r="Q200" s="310">
        <v>0</v>
      </c>
      <c r="R200" s="310">
        <v>5.24</v>
      </c>
      <c r="S200" s="310">
        <v>0.87</v>
      </c>
    </row>
    <row r="201" spans="1:19" ht="15" customHeight="1">
      <c r="A201" s="310" t="s">
        <v>224</v>
      </c>
      <c r="B201" s="410" t="s">
        <v>235</v>
      </c>
      <c r="C201" s="411"/>
      <c r="D201" s="310">
        <v>40</v>
      </c>
      <c r="E201" s="310">
        <v>2.64</v>
      </c>
      <c r="F201" s="310">
        <v>0.48</v>
      </c>
      <c r="G201" s="310">
        <v>13.68</v>
      </c>
      <c r="H201" s="310">
        <v>69.599999999999994</v>
      </c>
      <c r="I201" s="310">
        <v>0.08</v>
      </c>
      <c r="J201" s="310">
        <v>0.04</v>
      </c>
      <c r="K201" s="310">
        <v>0</v>
      </c>
      <c r="L201" s="310">
        <v>0</v>
      </c>
      <c r="M201" s="310">
        <v>2.4</v>
      </c>
      <c r="N201" s="310">
        <v>14</v>
      </c>
      <c r="O201" s="310">
        <v>63.2</v>
      </c>
      <c r="P201" s="310">
        <v>1.2</v>
      </c>
      <c r="Q201" s="310">
        <v>1E-3</v>
      </c>
      <c r="R201" s="310">
        <v>9.4</v>
      </c>
      <c r="S201" s="310">
        <v>0.78</v>
      </c>
    </row>
    <row r="202" spans="1:19">
      <c r="A202" s="310" t="s">
        <v>224</v>
      </c>
      <c r="B202" s="410" t="s">
        <v>117</v>
      </c>
      <c r="C202" s="411"/>
      <c r="D202" s="310">
        <v>30</v>
      </c>
      <c r="E202" s="310">
        <v>1.52</v>
      </c>
      <c r="F202" s="310">
        <v>0.16</v>
      </c>
      <c r="G202" s="310">
        <v>9.84</v>
      </c>
      <c r="H202" s="310">
        <v>46.9</v>
      </c>
      <c r="I202" s="310">
        <v>0.02</v>
      </c>
      <c r="J202" s="310">
        <v>0.01</v>
      </c>
      <c r="K202" s="310">
        <v>0.44</v>
      </c>
      <c r="L202" s="310">
        <v>0</v>
      </c>
      <c r="M202" s="310">
        <v>0.7</v>
      </c>
      <c r="N202" s="310">
        <v>4</v>
      </c>
      <c r="O202" s="310">
        <v>13</v>
      </c>
      <c r="P202" s="310">
        <v>8.0000000000000002E-3</v>
      </c>
      <c r="Q202" s="310">
        <v>1E-3</v>
      </c>
      <c r="R202" s="310">
        <v>0</v>
      </c>
      <c r="S202" s="310">
        <v>0.22</v>
      </c>
    </row>
    <row r="203" spans="1:19" ht="15" customHeight="1">
      <c r="A203" s="451" t="s">
        <v>236</v>
      </c>
      <c r="B203" s="452"/>
      <c r="C203" s="453"/>
      <c r="D203" s="301">
        <f>D196+D198+D199+D201+D202+260+204</f>
        <v>914</v>
      </c>
      <c r="E203" s="301">
        <f>SUM(E196:E202)</f>
        <v>30.8</v>
      </c>
      <c r="F203" s="301">
        <f t="shared" ref="F203:S203" si="38">SUM(F196:F202)</f>
        <v>25.268999999999998</v>
      </c>
      <c r="G203" s="301">
        <f t="shared" si="38"/>
        <v>112.15</v>
      </c>
      <c r="H203" s="301">
        <f t="shared" si="38"/>
        <v>798.34699999999998</v>
      </c>
      <c r="I203" s="301">
        <f t="shared" si="38"/>
        <v>0.60799999999999998</v>
      </c>
      <c r="J203" s="301">
        <f t="shared" si="38"/>
        <v>0.32300000000000001</v>
      </c>
      <c r="K203" s="301">
        <f t="shared" si="38"/>
        <v>34.242999999999995</v>
      </c>
      <c r="L203" s="301">
        <f t="shared" si="38"/>
        <v>1.6440000000000001</v>
      </c>
      <c r="M203" s="301">
        <f t="shared" si="38"/>
        <v>7.4099999999999993</v>
      </c>
      <c r="N203" s="301">
        <f t="shared" si="38"/>
        <v>157.59</v>
      </c>
      <c r="O203" s="301">
        <f t="shared" si="38"/>
        <v>292.12</v>
      </c>
      <c r="P203" s="301">
        <f t="shared" si="38"/>
        <v>2.4980000000000002</v>
      </c>
      <c r="Q203" s="301">
        <f t="shared" si="38"/>
        <v>6.0000000000000001E-3</v>
      </c>
      <c r="R203" s="301">
        <f t="shared" si="38"/>
        <v>101.63</v>
      </c>
      <c r="S203" s="301">
        <f t="shared" si="38"/>
        <v>8.0300000000000011</v>
      </c>
    </row>
    <row r="204" spans="1:19" ht="15" customHeight="1">
      <c r="A204" s="416" t="s">
        <v>237</v>
      </c>
      <c r="B204" s="416"/>
      <c r="C204" s="416"/>
      <c r="D204" s="416"/>
      <c r="E204" s="416"/>
      <c r="F204" s="416"/>
      <c r="G204" s="416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>
      <c r="A205" s="310" t="s">
        <v>224</v>
      </c>
      <c r="B205" s="406" t="s">
        <v>238</v>
      </c>
      <c r="C205" s="406"/>
      <c r="D205" s="310">
        <v>100</v>
      </c>
      <c r="E205" s="310">
        <v>7.86</v>
      </c>
      <c r="F205" s="310">
        <v>5.57</v>
      </c>
      <c r="G205" s="310">
        <v>53.71</v>
      </c>
      <c r="H205" s="310">
        <v>297.14</v>
      </c>
      <c r="I205" s="310">
        <v>0.1</v>
      </c>
      <c r="J205" s="310">
        <v>0.04</v>
      </c>
      <c r="K205" s="310">
        <v>0</v>
      </c>
      <c r="L205" s="310">
        <v>0.1</v>
      </c>
      <c r="M205" s="310"/>
      <c r="N205" s="310">
        <v>16.170000000000002</v>
      </c>
      <c r="O205" s="310">
        <v>0</v>
      </c>
      <c r="P205" s="310">
        <v>0</v>
      </c>
      <c r="Q205" s="310">
        <v>0</v>
      </c>
      <c r="R205" s="310">
        <v>11.19</v>
      </c>
      <c r="S205" s="310">
        <v>0.9</v>
      </c>
    </row>
    <row r="206" spans="1:19" ht="15" customHeight="1">
      <c r="A206" s="305">
        <v>349</v>
      </c>
      <c r="B206" s="417" t="s">
        <v>239</v>
      </c>
      <c r="C206" s="417"/>
      <c r="D206" s="305">
        <v>200</v>
      </c>
      <c r="E206" s="305">
        <v>0.22</v>
      </c>
      <c r="F206" s="305">
        <v>0</v>
      </c>
      <c r="G206" s="305">
        <v>24.42</v>
      </c>
      <c r="H206" s="305">
        <v>98.56</v>
      </c>
      <c r="I206" s="305"/>
      <c r="J206" s="305"/>
      <c r="K206" s="305">
        <v>0.2</v>
      </c>
      <c r="L206" s="305"/>
      <c r="M206" s="305"/>
      <c r="N206" s="305">
        <v>22.6</v>
      </c>
      <c r="O206" s="305">
        <v>7.7</v>
      </c>
      <c r="P206" s="305">
        <v>0</v>
      </c>
      <c r="Q206" s="305">
        <v>0</v>
      </c>
      <c r="R206" s="305">
        <v>3</v>
      </c>
      <c r="S206" s="305">
        <v>0.66</v>
      </c>
    </row>
    <row r="207" spans="1:19" ht="15" customHeight="1">
      <c r="A207" s="413" t="s">
        <v>240</v>
      </c>
      <c r="B207" s="414"/>
      <c r="C207" s="415"/>
      <c r="D207" s="301">
        <f>D205+D206</f>
        <v>300</v>
      </c>
      <c r="E207" s="301">
        <f t="shared" ref="E207:S207" si="39">E205+E206</f>
        <v>8.08</v>
      </c>
      <c r="F207" s="301">
        <f t="shared" si="39"/>
        <v>5.57</v>
      </c>
      <c r="G207" s="301">
        <f t="shared" si="39"/>
        <v>78.13</v>
      </c>
      <c r="H207" s="301">
        <f t="shared" si="39"/>
        <v>395.7</v>
      </c>
      <c r="I207" s="301">
        <f t="shared" si="39"/>
        <v>0.1</v>
      </c>
      <c r="J207" s="301">
        <f t="shared" si="39"/>
        <v>0.04</v>
      </c>
      <c r="K207" s="301">
        <f t="shared" si="39"/>
        <v>0.2</v>
      </c>
      <c r="L207" s="301">
        <f t="shared" si="39"/>
        <v>0.1</v>
      </c>
      <c r="M207" s="301">
        <f t="shared" si="39"/>
        <v>0</v>
      </c>
      <c r="N207" s="301">
        <f t="shared" si="39"/>
        <v>38.770000000000003</v>
      </c>
      <c r="O207" s="301">
        <f t="shared" si="39"/>
        <v>7.7</v>
      </c>
      <c r="P207" s="301">
        <f t="shared" si="39"/>
        <v>0</v>
      </c>
      <c r="Q207" s="301">
        <f t="shared" si="39"/>
        <v>0</v>
      </c>
      <c r="R207" s="301">
        <f t="shared" si="39"/>
        <v>14.19</v>
      </c>
      <c r="S207" s="301">
        <f t="shared" si="39"/>
        <v>1.56</v>
      </c>
    </row>
    <row r="208" spans="1:19" ht="15" customHeight="1">
      <c r="A208" s="405" t="s">
        <v>226</v>
      </c>
      <c r="B208" s="405"/>
      <c r="C208" s="405"/>
      <c r="D208" s="405"/>
      <c r="E208" s="174">
        <f>E207/E210</f>
        <v>8.9777777777777776E-2</v>
      </c>
      <c r="F208" s="174">
        <v>5.8000000000000003E-2</v>
      </c>
      <c r="G208" s="174">
        <v>0.122</v>
      </c>
      <c r="H208" s="174">
        <v>9.6000000000000002E-2</v>
      </c>
      <c r="I208" s="174">
        <v>5.7000000000000002E-2</v>
      </c>
      <c r="J208" s="174">
        <v>0.188</v>
      </c>
      <c r="K208" s="174">
        <v>0.66400000000000003</v>
      </c>
      <c r="L208" s="174">
        <v>8.8999999999999996E-2</v>
      </c>
      <c r="M208" s="174">
        <v>0.1</v>
      </c>
      <c r="N208" s="174">
        <v>0.23200000000000001</v>
      </c>
      <c r="O208" s="174">
        <v>0.17399999999999999</v>
      </c>
      <c r="P208" s="174">
        <v>4.7E-2</v>
      </c>
      <c r="Q208" s="174">
        <v>0.03</v>
      </c>
      <c r="R208" s="174">
        <v>0.14399999999999999</v>
      </c>
      <c r="S208" s="174">
        <v>0.122</v>
      </c>
    </row>
    <row r="209" spans="1:19" ht="15" customHeight="1">
      <c r="A209" s="405" t="s">
        <v>241</v>
      </c>
      <c r="B209" s="405"/>
      <c r="C209" s="405"/>
      <c r="D209" s="405"/>
      <c r="E209" s="301">
        <f>E191+E202+E207</f>
        <v>12.64</v>
      </c>
      <c r="F209" s="301">
        <f t="shared" ref="F209:S209" si="40">F191+F202+F207</f>
        <v>6.0500000000000007</v>
      </c>
      <c r="G209" s="301">
        <f t="shared" si="40"/>
        <v>107.64999999999999</v>
      </c>
      <c r="H209" s="301">
        <f t="shared" si="40"/>
        <v>531.4</v>
      </c>
      <c r="I209" s="301">
        <f t="shared" si="40"/>
        <v>0.16</v>
      </c>
      <c r="J209" s="301">
        <f t="shared" si="40"/>
        <v>0.06</v>
      </c>
      <c r="K209" s="301">
        <f t="shared" si="40"/>
        <v>1.52</v>
      </c>
      <c r="L209" s="301">
        <f t="shared" si="40"/>
        <v>0.1</v>
      </c>
      <c r="M209" s="301">
        <f t="shared" si="40"/>
        <v>1.4</v>
      </c>
      <c r="N209" s="301">
        <f t="shared" si="40"/>
        <v>50.77</v>
      </c>
      <c r="O209" s="301">
        <f t="shared" si="40"/>
        <v>46.7</v>
      </c>
      <c r="P209" s="301">
        <f t="shared" si="40"/>
        <v>1.6E-2</v>
      </c>
      <c r="Q209" s="301">
        <f t="shared" si="40"/>
        <v>4.0000000000000001E-3</v>
      </c>
      <c r="R209" s="301">
        <f t="shared" si="40"/>
        <v>14.19</v>
      </c>
      <c r="S209" s="301">
        <f t="shared" si="40"/>
        <v>2.2200000000000002</v>
      </c>
    </row>
    <row r="210" spans="1:19" ht="15" customHeight="1">
      <c r="A210" s="405" t="s">
        <v>242</v>
      </c>
      <c r="B210" s="405"/>
      <c r="C210" s="405"/>
      <c r="D210" s="405"/>
      <c r="E210" s="310">
        <v>90</v>
      </c>
      <c r="F210" s="310">
        <v>92</v>
      </c>
      <c r="G210" s="310">
        <v>383</v>
      </c>
      <c r="H210" s="310">
        <v>2720</v>
      </c>
      <c r="I210" s="310">
        <v>1.4</v>
      </c>
      <c r="J210" s="310">
        <v>1.6</v>
      </c>
      <c r="K210" s="310">
        <v>70</v>
      </c>
      <c r="L210" s="310">
        <v>0.9</v>
      </c>
      <c r="M210" s="310">
        <v>12</v>
      </c>
      <c r="N210" s="310">
        <v>1200</v>
      </c>
      <c r="O210" s="310">
        <v>1200</v>
      </c>
      <c r="P210" s="310">
        <v>14</v>
      </c>
      <c r="Q210" s="310">
        <v>0.1</v>
      </c>
      <c r="R210" s="310">
        <v>300</v>
      </c>
      <c r="S210" s="310">
        <v>18</v>
      </c>
    </row>
    <row r="211" spans="1:19">
      <c r="A211" s="405" t="s">
        <v>226</v>
      </c>
      <c r="B211" s="405"/>
      <c r="C211" s="405"/>
      <c r="D211" s="405"/>
      <c r="E211" s="174">
        <f>E209/E210</f>
        <v>0.14044444444444446</v>
      </c>
      <c r="F211" s="174">
        <f t="shared" ref="F211:S211" si="41">F209/F210</f>
        <v>6.57608695652174E-2</v>
      </c>
      <c r="G211" s="174">
        <f t="shared" si="41"/>
        <v>0.28107049608355089</v>
      </c>
      <c r="H211" s="174">
        <f t="shared" si="41"/>
        <v>0.19536764705882353</v>
      </c>
      <c r="I211" s="174">
        <f t="shared" si="41"/>
        <v>0.1142857142857143</v>
      </c>
      <c r="J211" s="174">
        <f t="shared" si="41"/>
        <v>3.7499999999999999E-2</v>
      </c>
      <c r="K211" s="174">
        <f t="shared" si="41"/>
        <v>2.1714285714285714E-2</v>
      </c>
      <c r="L211" s="174">
        <f t="shared" si="41"/>
        <v>0.11111111111111112</v>
      </c>
      <c r="M211" s="174">
        <f t="shared" si="41"/>
        <v>0.11666666666666665</v>
      </c>
      <c r="N211" s="174">
        <f t="shared" si="41"/>
        <v>4.2308333333333337E-2</v>
      </c>
      <c r="O211" s="174">
        <f t="shared" si="41"/>
        <v>3.8916666666666669E-2</v>
      </c>
      <c r="P211" s="174">
        <f t="shared" si="41"/>
        <v>1.1428571428571429E-3</v>
      </c>
      <c r="Q211" s="174">
        <f t="shared" si="41"/>
        <v>0.04</v>
      </c>
      <c r="R211" s="174">
        <f t="shared" si="41"/>
        <v>4.7300000000000002E-2</v>
      </c>
      <c r="S211" s="174">
        <f t="shared" si="41"/>
        <v>0.12333333333333335</v>
      </c>
    </row>
    <row r="212" spans="1:19">
      <c r="A212" s="239"/>
      <c r="B212" s="253"/>
      <c r="C212" s="253"/>
      <c r="D212" s="253"/>
      <c r="E212" s="253"/>
      <c r="F212" s="253"/>
      <c r="G212" s="253"/>
      <c r="H212" s="253"/>
      <c r="I212" s="253"/>
      <c r="J212" s="253"/>
      <c r="K212" s="253"/>
      <c r="L212" s="419" t="s">
        <v>187</v>
      </c>
      <c r="M212" s="419"/>
      <c r="N212" s="419"/>
      <c r="O212" s="419"/>
      <c r="P212" s="419"/>
      <c r="Q212" s="419"/>
      <c r="R212" s="419"/>
      <c r="S212" s="419"/>
    </row>
    <row r="213" spans="1:19">
      <c r="A213" s="416" t="s">
        <v>305</v>
      </c>
      <c r="B213" s="416"/>
      <c r="C213" s="416"/>
      <c r="D213" s="416"/>
      <c r="E213" s="416"/>
      <c r="F213" s="416"/>
      <c r="G213" s="416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>
      <c r="A214" s="405" t="s">
        <v>189</v>
      </c>
      <c r="B214" s="405"/>
      <c r="C214" s="253"/>
      <c r="D214" s="253"/>
      <c r="E214" s="253"/>
      <c r="F214" s="445" t="s">
        <v>244</v>
      </c>
      <c r="G214" s="445"/>
      <c r="H214" s="445"/>
      <c r="I214" s="253"/>
      <c r="J214" s="253"/>
      <c r="K214" s="405" t="s">
        <v>191</v>
      </c>
      <c r="L214" s="405"/>
      <c r="M214" s="419" t="s">
        <v>192</v>
      </c>
      <c r="N214" s="419"/>
      <c r="O214" s="419"/>
      <c r="P214" s="419"/>
      <c r="Q214" s="253"/>
      <c r="R214" s="253"/>
      <c r="S214" s="253"/>
    </row>
    <row r="215" spans="1:19">
      <c r="A215" s="253"/>
      <c r="B215" s="253"/>
      <c r="C215" s="253"/>
      <c r="D215" s="416" t="s">
        <v>194</v>
      </c>
      <c r="E215" s="416"/>
      <c r="F215" s="253">
        <v>2</v>
      </c>
      <c r="G215" s="253"/>
      <c r="H215" s="253"/>
      <c r="I215" s="253"/>
      <c r="J215" s="253"/>
      <c r="K215" s="405" t="s">
        <v>195</v>
      </c>
      <c r="L215" s="405"/>
      <c r="M215" s="419" t="s">
        <v>347</v>
      </c>
      <c r="N215" s="419"/>
      <c r="O215" s="419"/>
      <c r="P215" s="419"/>
      <c r="Q215" s="419"/>
      <c r="R215" s="419"/>
      <c r="S215" s="419"/>
    </row>
    <row r="216" spans="1:19">
      <c r="A216" s="256" t="s">
        <v>0</v>
      </c>
      <c r="B216" s="444" t="s">
        <v>198</v>
      </c>
      <c r="C216" s="444"/>
      <c r="D216" s="444" t="s">
        <v>199</v>
      </c>
      <c r="E216" s="444" t="s">
        <v>200</v>
      </c>
      <c r="F216" s="444"/>
      <c r="G216" s="444"/>
      <c r="H216" s="256" t="s">
        <v>201</v>
      </c>
      <c r="I216" s="444" t="s">
        <v>202</v>
      </c>
      <c r="J216" s="444"/>
      <c r="K216" s="444"/>
      <c r="L216" s="444"/>
      <c r="M216" s="444"/>
      <c r="N216" s="444" t="s">
        <v>203</v>
      </c>
      <c r="O216" s="444"/>
      <c r="P216" s="444"/>
      <c r="Q216" s="444"/>
      <c r="R216" s="444"/>
      <c r="S216" s="444"/>
    </row>
    <row r="217" spans="1:19" ht="38.25">
      <c r="A217" s="256" t="s">
        <v>245</v>
      </c>
      <c r="B217" s="444"/>
      <c r="C217" s="444"/>
      <c r="D217" s="444"/>
      <c r="E217" s="256" t="s">
        <v>204</v>
      </c>
      <c r="F217" s="256" t="s">
        <v>205</v>
      </c>
      <c r="G217" s="256" t="s">
        <v>206</v>
      </c>
      <c r="H217" s="256" t="s">
        <v>207</v>
      </c>
      <c r="I217" s="256" t="s">
        <v>208</v>
      </c>
      <c r="J217" s="256" t="s">
        <v>209</v>
      </c>
      <c r="K217" s="256" t="s">
        <v>210</v>
      </c>
      <c r="L217" s="256" t="s">
        <v>211</v>
      </c>
      <c r="M217" s="256" t="s">
        <v>212</v>
      </c>
      <c r="N217" s="256" t="s">
        <v>213</v>
      </c>
      <c r="O217" s="256" t="s">
        <v>214</v>
      </c>
      <c r="P217" s="256" t="s">
        <v>215</v>
      </c>
      <c r="Q217" s="256" t="s">
        <v>216</v>
      </c>
      <c r="R217" s="256" t="s">
        <v>217</v>
      </c>
      <c r="S217" s="256" t="s">
        <v>218</v>
      </c>
    </row>
    <row r="218" spans="1:19">
      <c r="A218" s="254">
        <v>1</v>
      </c>
      <c r="B218" s="418">
        <v>2</v>
      </c>
      <c r="C218" s="418"/>
      <c r="D218" s="254">
        <v>3</v>
      </c>
      <c r="E218" s="254">
        <v>4</v>
      </c>
      <c r="F218" s="254">
        <v>5</v>
      </c>
      <c r="G218" s="254">
        <v>6</v>
      </c>
      <c r="H218" s="254">
        <v>7</v>
      </c>
      <c r="I218" s="254">
        <v>8</v>
      </c>
      <c r="J218" s="254">
        <v>9</v>
      </c>
      <c r="K218" s="254">
        <v>10</v>
      </c>
      <c r="L218" s="254">
        <v>11</v>
      </c>
      <c r="M218" s="254">
        <v>12</v>
      </c>
      <c r="N218" s="254">
        <v>13</v>
      </c>
      <c r="O218" s="254">
        <v>14</v>
      </c>
      <c r="P218" s="254">
        <v>15</v>
      </c>
      <c r="Q218" s="254">
        <v>16</v>
      </c>
      <c r="R218" s="254">
        <v>17</v>
      </c>
      <c r="S218" s="254">
        <v>18</v>
      </c>
    </row>
    <row r="219" spans="1:19">
      <c r="A219" s="416" t="s">
        <v>246</v>
      </c>
      <c r="B219" s="416"/>
      <c r="C219" s="416"/>
      <c r="D219" s="416"/>
      <c r="E219" s="416"/>
      <c r="F219" s="416"/>
      <c r="G219" s="416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ht="15" customHeight="1">
      <c r="A220" s="310" t="s">
        <v>344</v>
      </c>
      <c r="B220" s="436" t="s">
        <v>220</v>
      </c>
      <c r="C220" s="436"/>
      <c r="D220" s="310">
        <v>100</v>
      </c>
      <c r="E220" s="310">
        <v>0.4</v>
      </c>
      <c r="F220" s="310">
        <v>0.4</v>
      </c>
      <c r="G220" s="310">
        <v>9.8000000000000007</v>
      </c>
      <c r="H220" s="310">
        <v>42</v>
      </c>
      <c r="I220" s="310">
        <v>0.04</v>
      </c>
      <c r="J220" s="310">
        <v>0.02</v>
      </c>
      <c r="K220" s="310">
        <v>10</v>
      </c>
      <c r="L220" s="310">
        <v>0</v>
      </c>
      <c r="M220" s="310">
        <v>0.2</v>
      </c>
      <c r="N220" s="310">
        <v>16</v>
      </c>
      <c r="O220" s="310">
        <v>11</v>
      </c>
      <c r="P220" s="310">
        <v>0</v>
      </c>
      <c r="Q220" s="310">
        <v>0</v>
      </c>
      <c r="R220" s="310">
        <v>9</v>
      </c>
      <c r="S220" s="310">
        <v>2.2000000000000002</v>
      </c>
    </row>
    <row r="221" spans="1:19" ht="23.25" customHeight="1">
      <c r="A221" s="303">
        <v>71</v>
      </c>
      <c r="B221" s="406" t="s">
        <v>247</v>
      </c>
      <c r="C221" s="406"/>
      <c r="D221" s="303">
        <v>40</v>
      </c>
      <c r="E221" s="303">
        <v>0.33</v>
      </c>
      <c r="F221" s="303">
        <v>0.04</v>
      </c>
      <c r="G221" s="303">
        <v>1.1299999999999999</v>
      </c>
      <c r="H221" s="303">
        <v>6.23</v>
      </c>
      <c r="I221" s="303">
        <v>8.9999999999999993E-3</v>
      </c>
      <c r="J221" s="303">
        <v>0.01</v>
      </c>
      <c r="K221" s="303">
        <v>3</v>
      </c>
      <c r="L221" s="303">
        <v>3.0000000000000001E-3</v>
      </c>
      <c r="M221" s="303">
        <v>0.03</v>
      </c>
      <c r="N221" s="303">
        <v>6.9</v>
      </c>
      <c r="O221" s="303">
        <v>12.6</v>
      </c>
      <c r="P221" s="303">
        <v>6.4000000000000001E-2</v>
      </c>
      <c r="Q221" s="303">
        <v>1E-3</v>
      </c>
      <c r="R221" s="303">
        <v>4.2</v>
      </c>
      <c r="S221" s="303">
        <v>0.18</v>
      </c>
    </row>
    <row r="222" spans="1:19" ht="21" customHeight="1">
      <c r="A222" s="310">
        <v>392</v>
      </c>
      <c r="B222" s="417" t="s">
        <v>177</v>
      </c>
      <c r="C222" s="417"/>
      <c r="D222" s="310">
        <v>100</v>
      </c>
      <c r="E222" s="310">
        <v>12.1</v>
      </c>
      <c r="F222" s="310">
        <v>12.73</v>
      </c>
      <c r="G222" s="310">
        <v>11.38</v>
      </c>
      <c r="H222" s="310">
        <v>208.53</v>
      </c>
      <c r="I222" s="310">
        <v>8.7999999999999995E-2</v>
      </c>
      <c r="J222" s="310">
        <v>0.15</v>
      </c>
      <c r="K222" s="310">
        <v>0.79</v>
      </c>
      <c r="L222" s="310">
        <v>2.5000000000000001E-2</v>
      </c>
      <c r="M222" s="310">
        <v>2.5000000000000001E-2</v>
      </c>
      <c r="N222" s="310">
        <v>35.54</v>
      </c>
      <c r="O222" s="310">
        <v>139.13</v>
      </c>
      <c r="P222" s="310">
        <v>1.81</v>
      </c>
      <c r="Q222" s="310">
        <v>0.1</v>
      </c>
      <c r="R222" s="310">
        <v>18.96</v>
      </c>
      <c r="S222" s="310">
        <v>1.78</v>
      </c>
    </row>
    <row r="223" spans="1:19" ht="15" customHeight="1">
      <c r="A223" s="310">
        <v>175</v>
      </c>
      <c r="B223" s="406" t="s">
        <v>179</v>
      </c>
      <c r="C223" s="406"/>
      <c r="D223" s="310">
        <v>180</v>
      </c>
      <c r="E223" s="310">
        <v>4.0999999999999996</v>
      </c>
      <c r="F223" s="310">
        <v>5.9</v>
      </c>
      <c r="G223" s="310">
        <v>30.2</v>
      </c>
      <c r="H223" s="310">
        <v>190.9</v>
      </c>
      <c r="I223" s="310">
        <v>0.17</v>
      </c>
      <c r="J223" s="310">
        <v>0.12</v>
      </c>
      <c r="K223" s="310">
        <v>4</v>
      </c>
      <c r="L223" s="310">
        <v>4.3999999999999997E-2</v>
      </c>
      <c r="M223" s="310">
        <v>0</v>
      </c>
      <c r="N223" s="310">
        <v>152.9</v>
      </c>
      <c r="O223" s="310">
        <v>220.2</v>
      </c>
      <c r="P223" s="310">
        <v>0</v>
      </c>
      <c r="Q223" s="310">
        <v>0</v>
      </c>
      <c r="R223" s="310">
        <v>66.099999999999994</v>
      </c>
      <c r="S223" s="310">
        <v>0.36</v>
      </c>
    </row>
    <row r="224" spans="1:19" ht="15" customHeight="1">
      <c r="A224" s="310">
        <v>376</v>
      </c>
      <c r="B224" s="406" t="s">
        <v>141</v>
      </c>
      <c r="C224" s="406"/>
      <c r="D224" s="310">
        <v>200</v>
      </c>
      <c r="E224" s="310">
        <v>0.2</v>
      </c>
      <c r="F224" s="310">
        <v>0.05</v>
      </c>
      <c r="G224" s="310">
        <v>15.01</v>
      </c>
      <c r="H224" s="310">
        <v>61</v>
      </c>
      <c r="I224" s="310">
        <v>0</v>
      </c>
      <c r="J224" s="310">
        <v>0.01</v>
      </c>
      <c r="K224" s="310">
        <v>9</v>
      </c>
      <c r="L224" s="310">
        <v>1E-4</v>
      </c>
      <c r="M224" s="310">
        <v>4.4999999999999998E-2</v>
      </c>
      <c r="N224" s="310">
        <v>5.25</v>
      </c>
      <c r="O224" s="310">
        <v>8.24</v>
      </c>
      <c r="P224" s="310">
        <v>8.0000000000000002E-3</v>
      </c>
      <c r="Q224" s="310">
        <v>0</v>
      </c>
      <c r="R224" s="310">
        <v>4.4000000000000004</v>
      </c>
      <c r="S224" s="310">
        <v>0.87</v>
      </c>
    </row>
    <row r="225" spans="1:19" ht="15" customHeight="1">
      <c r="A225" s="310" t="s">
        <v>224</v>
      </c>
      <c r="B225" s="406" t="s">
        <v>161</v>
      </c>
      <c r="C225" s="406"/>
      <c r="D225" s="310">
        <v>40</v>
      </c>
      <c r="E225" s="310">
        <v>3.04</v>
      </c>
      <c r="F225" s="310">
        <v>0.32</v>
      </c>
      <c r="G225" s="310">
        <v>19.68</v>
      </c>
      <c r="H225" s="310">
        <v>93.8</v>
      </c>
      <c r="I225" s="310">
        <v>0.04</v>
      </c>
      <c r="J225" s="310">
        <v>0.01</v>
      </c>
      <c r="K225" s="310">
        <v>0.88</v>
      </c>
      <c r="L225" s="310">
        <v>0</v>
      </c>
      <c r="M225" s="310">
        <v>0.7</v>
      </c>
      <c r="N225" s="310">
        <v>8</v>
      </c>
      <c r="O225" s="310">
        <v>26</v>
      </c>
      <c r="P225" s="310">
        <v>8.0000000000000002E-3</v>
      </c>
      <c r="Q225" s="310">
        <v>3.0000000000000001E-3</v>
      </c>
      <c r="R225" s="310">
        <v>0</v>
      </c>
      <c r="S225" s="310">
        <v>0.44</v>
      </c>
    </row>
    <row r="226" spans="1:19">
      <c r="A226" s="413" t="s">
        <v>251</v>
      </c>
      <c r="B226" s="414"/>
      <c r="C226" s="415"/>
      <c r="D226" s="301">
        <f>SUM(D221:D225)</f>
        <v>560</v>
      </c>
      <c r="E226" s="301">
        <f t="shared" ref="E226:S226" si="42">SUM(E221:E225)</f>
        <v>19.77</v>
      </c>
      <c r="F226" s="301">
        <f t="shared" si="42"/>
        <v>19.040000000000003</v>
      </c>
      <c r="G226" s="301">
        <f t="shared" si="42"/>
        <v>77.400000000000006</v>
      </c>
      <c r="H226" s="301">
        <f t="shared" si="42"/>
        <v>560.45999999999992</v>
      </c>
      <c r="I226" s="301">
        <f t="shared" si="42"/>
        <v>0.307</v>
      </c>
      <c r="J226" s="301">
        <f t="shared" si="42"/>
        <v>0.30000000000000004</v>
      </c>
      <c r="K226" s="301">
        <f t="shared" si="42"/>
        <v>17.669999999999998</v>
      </c>
      <c r="L226" s="301">
        <f t="shared" si="42"/>
        <v>7.2099999999999997E-2</v>
      </c>
      <c r="M226" s="301">
        <f t="shared" si="42"/>
        <v>0.79999999999999993</v>
      </c>
      <c r="N226" s="301">
        <f t="shared" si="42"/>
        <v>208.59</v>
      </c>
      <c r="O226" s="301">
        <f t="shared" si="42"/>
        <v>406.16999999999996</v>
      </c>
      <c r="P226" s="301">
        <f t="shared" si="42"/>
        <v>1.8900000000000001</v>
      </c>
      <c r="Q226" s="301">
        <f t="shared" si="42"/>
        <v>0.10400000000000001</v>
      </c>
      <c r="R226" s="301">
        <f t="shared" si="42"/>
        <v>93.66</v>
      </c>
      <c r="S226" s="301">
        <f t="shared" si="42"/>
        <v>3.63</v>
      </c>
    </row>
    <row r="227" spans="1:19" ht="15" customHeight="1">
      <c r="A227" s="405" t="s">
        <v>226</v>
      </c>
      <c r="B227" s="405"/>
      <c r="C227" s="405"/>
      <c r="D227" s="405"/>
      <c r="E227" s="174">
        <f t="shared" ref="E227:S227" si="43">E226/E244</f>
        <v>0.21966666666666665</v>
      </c>
      <c r="F227" s="174">
        <f t="shared" si="43"/>
        <v>0.20695652173913046</v>
      </c>
      <c r="G227" s="174">
        <f t="shared" si="43"/>
        <v>0.20208877284595303</v>
      </c>
      <c r="H227" s="174">
        <f t="shared" si="43"/>
        <v>0.20605147058823525</v>
      </c>
      <c r="I227" s="174">
        <f t="shared" si="43"/>
        <v>0.21928571428571431</v>
      </c>
      <c r="J227" s="174">
        <f t="shared" si="43"/>
        <v>0.18750000000000003</v>
      </c>
      <c r="K227" s="174">
        <f t="shared" si="43"/>
        <v>0.25242857142857139</v>
      </c>
      <c r="L227" s="174">
        <f t="shared" si="43"/>
        <v>8.0111111111111105E-2</v>
      </c>
      <c r="M227" s="174">
        <f t="shared" si="43"/>
        <v>6.6666666666666666E-2</v>
      </c>
      <c r="N227" s="174">
        <f t="shared" si="43"/>
        <v>0.17382500000000001</v>
      </c>
      <c r="O227" s="174">
        <f t="shared" si="43"/>
        <v>0.33847499999999997</v>
      </c>
      <c r="P227" s="174">
        <f t="shared" si="43"/>
        <v>0.13500000000000001</v>
      </c>
      <c r="Q227" s="174">
        <f t="shared" si="43"/>
        <v>1.04</v>
      </c>
      <c r="R227" s="174">
        <f t="shared" si="43"/>
        <v>0.31219999999999998</v>
      </c>
      <c r="S227" s="174">
        <f t="shared" si="43"/>
        <v>0.20166666666666666</v>
      </c>
    </row>
    <row r="228" spans="1:19" ht="15" customHeight="1">
      <c r="A228" s="416" t="s">
        <v>227</v>
      </c>
      <c r="B228" s="416"/>
      <c r="C228" s="416"/>
      <c r="D228" s="416"/>
      <c r="E228" s="416"/>
      <c r="F228" s="416"/>
      <c r="G228" s="416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ht="15" customHeight="1">
      <c r="A229" s="310">
        <v>45</v>
      </c>
      <c r="B229" s="406" t="s">
        <v>306</v>
      </c>
      <c r="C229" s="406"/>
      <c r="D229" s="310">
        <v>100</v>
      </c>
      <c r="E229" s="310">
        <v>1.35</v>
      </c>
      <c r="F229" s="310">
        <v>6.16</v>
      </c>
      <c r="G229" s="310">
        <v>7.69</v>
      </c>
      <c r="H229" s="310">
        <v>91.6</v>
      </c>
      <c r="I229" s="310">
        <v>0.05</v>
      </c>
      <c r="J229" s="310">
        <v>0.06</v>
      </c>
      <c r="K229" s="310">
        <v>13.25</v>
      </c>
      <c r="L229" s="310">
        <v>0.05</v>
      </c>
      <c r="M229" s="310"/>
      <c r="N229" s="310">
        <v>33.549999999999997</v>
      </c>
      <c r="O229" s="310">
        <v>40.17</v>
      </c>
      <c r="P229" s="310"/>
      <c r="Q229" s="310">
        <v>0</v>
      </c>
      <c r="R229" s="310">
        <v>21.35</v>
      </c>
      <c r="S229" s="310">
        <v>0.88</v>
      </c>
    </row>
    <row r="230" spans="1:19" ht="15" customHeight="1">
      <c r="A230" s="310">
        <v>113</v>
      </c>
      <c r="B230" s="406" t="s">
        <v>352</v>
      </c>
      <c r="C230" s="406"/>
      <c r="D230" s="310" t="s">
        <v>353</v>
      </c>
      <c r="E230" s="310">
        <v>8.7100000000000009</v>
      </c>
      <c r="F230" s="310">
        <v>8.77</v>
      </c>
      <c r="G230" s="310">
        <v>23.67</v>
      </c>
      <c r="H230" s="310">
        <v>208.5</v>
      </c>
      <c r="I230" s="310">
        <v>0.23</v>
      </c>
      <c r="J230" s="310">
        <v>0.21</v>
      </c>
      <c r="K230" s="310">
        <v>5.3019999999999996</v>
      </c>
      <c r="L230" s="310">
        <v>1.04</v>
      </c>
      <c r="M230" s="310">
        <v>0.379</v>
      </c>
      <c r="N230" s="310">
        <v>43.8</v>
      </c>
      <c r="O230" s="310">
        <v>95.75</v>
      </c>
      <c r="P230" s="310">
        <v>0.13</v>
      </c>
      <c r="Q230" s="310">
        <v>1E-3</v>
      </c>
      <c r="R230" s="310">
        <v>18.3</v>
      </c>
      <c r="S230" s="310">
        <v>1.25</v>
      </c>
    </row>
    <row r="231" spans="1:19" ht="15" customHeight="1">
      <c r="A231" s="310">
        <v>293</v>
      </c>
      <c r="B231" s="406" t="s">
        <v>309</v>
      </c>
      <c r="C231" s="406"/>
      <c r="D231" s="310">
        <v>100</v>
      </c>
      <c r="E231" s="310">
        <v>21.1</v>
      </c>
      <c r="F231" s="310">
        <v>12.08</v>
      </c>
      <c r="G231" s="310">
        <v>0.19</v>
      </c>
      <c r="H231" s="310">
        <v>193.93</v>
      </c>
      <c r="I231" s="310">
        <v>0.1</v>
      </c>
      <c r="J231" s="310">
        <v>0.17</v>
      </c>
      <c r="K231" s="310">
        <v>0.03</v>
      </c>
      <c r="L231" s="310">
        <v>0</v>
      </c>
      <c r="M231" s="310">
        <v>0</v>
      </c>
      <c r="N231" s="310">
        <v>21.6</v>
      </c>
      <c r="O231" s="310">
        <v>1.78</v>
      </c>
      <c r="P231" s="310">
        <v>0</v>
      </c>
      <c r="Q231" s="310">
        <v>0</v>
      </c>
      <c r="R231" s="310">
        <v>18.98</v>
      </c>
      <c r="S231" s="310">
        <v>2.06</v>
      </c>
    </row>
    <row r="232" spans="1:19" ht="15" customHeight="1">
      <c r="A232" s="310">
        <v>139</v>
      </c>
      <c r="B232" s="406" t="s">
        <v>310</v>
      </c>
      <c r="C232" s="406"/>
      <c r="D232" s="310">
        <v>180</v>
      </c>
      <c r="E232" s="310">
        <v>3.32</v>
      </c>
      <c r="F232" s="310">
        <v>5.81</v>
      </c>
      <c r="G232" s="310">
        <v>12.94</v>
      </c>
      <c r="H232" s="310">
        <v>117.31</v>
      </c>
      <c r="I232" s="310">
        <v>0.77</v>
      </c>
      <c r="J232" s="310">
        <v>0.16</v>
      </c>
      <c r="K232" s="310">
        <v>0.16</v>
      </c>
      <c r="L232" s="310">
        <v>0.03</v>
      </c>
      <c r="M232" s="310">
        <v>0.01</v>
      </c>
      <c r="N232" s="310">
        <v>87.66</v>
      </c>
      <c r="O232" s="310">
        <v>64.8</v>
      </c>
      <c r="P232" s="310">
        <v>3.5</v>
      </c>
      <c r="Q232" s="310">
        <v>1.7000000000000001E-2</v>
      </c>
      <c r="R232" s="310">
        <v>33.299999999999997</v>
      </c>
      <c r="S232" s="310">
        <v>1.31</v>
      </c>
    </row>
    <row r="233" spans="1:19" ht="15" customHeight="1">
      <c r="A233" s="310">
        <v>349</v>
      </c>
      <c r="B233" s="406" t="s">
        <v>311</v>
      </c>
      <c r="C233" s="406"/>
      <c r="D233" s="310">
        <v>200</v>
      </c>
      <c r="E233" s="310">
        <v>0.22</v>
      </c>
      <c r="F233" s="310"/>
      <c r="G233" s="310">
        <v>24.42</v>
      </c>
      <c r="H233" s="310">
        <v>98.56</v>
      </c>
      <c r="I233" s="310"/>
      <c r="J233" s="310"/>
      <c r="K233" s="310">
        <v>0.2</v>
      </c>
      <c r="L233" s="310"/>
      <c r="M233" s="310"/>
      <c r="N233" s="310">
        <v>22.6</v>
      </c>
      <c r="O233" s="310">
        <v>7.7</v>
      </c>
      <c r="P233" s="310">
        <v>0</v>
      </c>
      <c r="Q233" s="310">
        <v>0</v>
      </c>
      <c r="R233" s="310">
        <v>3</v>
      </c>
      <c r="S233" s="310">
        <v>0.66</v>
      </c>
    </row>
    <row r="234" spans="1:19" ht="15" customHeight="1">
      <c r="A234" s="310" t="s">
        <v>224</v>
      </c>
      <c r="B234" s="406" t="s">
        <v>235</v>
      </c>
      <c r="C234" s="406"/>
      <c r="D234" s="310">
        <v>40</v>
      </c>
      <c r="E234" s="310">
        <v>2.64</v>
      </c>
      <c r="F234" s="310">
        <v>0.48</v>
      </c>
      <c r="G234" s="310">
        <v>13.68</v>
      </c>
      <c r="H234" s="310">
        <v>69.599999999999994</v>
      </c>
      <c r="I234" s="310">
        <v>0.08</v>
      </c>
      <c r="J234" s="310">
        <v>0.04</v>
      </c>
      <c r="K234" s="310">
        <v>0</v>
      </c>
      <c r="L234" s="310">
        <v>0</v>
      </c>
      <c r="M234" s="310">
        <v>2.4</v>
      </c>
      <c r="N234" s="310">
        <v>14</v>
      </c>
      <c r="O234" s="310">
        <v>63.2</v>
      </c>
      <c r="P234" s="310">
        <v>1.2</v>
      </c>
      <c r="Q234" s="310">
        <v>1E-3</v>
      </c>
      <c r="R234" s="310">
        <v>9.4</v>
      </c>
      <c r="S234" s="310">
        <v>0.78</v>
      </c>
    </row>
    <row r="235" spans="1:19" ht="15" customHeight="1">
      <c r="A235" s="310" t="s">
        <v>224</v>
      </c>
      <c r="B235" s="406" t="s">
        <v>117</v>
      </c>
      <c r="C235" s="406"/>
      <c r="D235" s="310">
        <v>30</v>
      </c>
      <c r="E235" s="310">
        <v>1.52</v>
      </c>
      <c r="F235" s="310">
        <v>0.16</v>
      </c>
      <c r="G235" s="310">
        <v>9.84</v>
      </c>
      <c r="H235" s="310">
        <v>46.9</v>
      </c>
      <c r="I235" s="310">
        <v>0.02</v>
      </c>
      <c r="J235" s="310">
        <v>0.01</v>
      </c>
      <c r="K235" s="310">
        <v>0.44</v>
      </c>
      <c r="L235" s="310">
        <v>0</v>
      </c>
      <c r="M235" s="310">
        <v>0.7</v>
      </c>
      <c r="N235" s="310">
        <v>4</v>
      </c>
      <c r="O235" s="310">
        <v>13</v>
      </c>
      <c r="P235" s="310">
        <v>8.0000000000000002E-3</v>
      </c>
      <c r="Q235" s="310">
        <v>1E-3</v>
      </c>
      <c r="R235" s="310">
        <v>0</v>
      </c>
      <c r="S235" s="310">
        <v>0.22</v>
      </c>
    </row>
    <row r="236" spans="1:19" ht="15" customHeight="1">
      <c r="A236" s="405" t="s">
        <v>236</v>
      </c>
      <c r="B236" s="405"/>
      <c r="C236" s="405"/>
      <c r="D236" s="301">
        <f>D229+D231+D232+D233+D234+D235+250+15</f>
        <v>915</v>
      </c>
      <c r="E236" s="301">
        <f>SUM(E229:E235)</f>
        <v>38.860000000000007</v>
      </c>
      <c r="F236" s="301">
        <f t="shared" ref="F236:S236" si="44">SUM(F229:F235)</f>
        <v>33.459999999999994</v>
      </c>
      <c r="G236" s="301">
        <f t="shared" si="44"/>
        <v>92.43</v>
      </c>
      <c r="H236" s="301">
        <f t="shared" si="44"/>
        <v>826.40000000000009</v>
      </c>
      <c r="I236" s="301">
        <f t="shared" si="44"/>
        <v>1.25</v>
      </c>
      <c r="J236" s="301">
        <f t="shared" si="44"/>
        <v>0.65000000000000013</v>
      </c>
      <c r="K236" s="301">
        <f t="shared" si="44"/>
        <v>19.382000000000001</v>
      </c>
      <c r="L236" s="301">
        <f t="shared" si="44"/>
        <v>1.1200000000000001</v>
      </c>
      <c r="M236" s="301">
        <f t="shared" si="44"/>
        <v>3.4889999999999999</v>
      </c>
      <c r="N236" s="301">
        <f t="shared" si="44"/>
        <v>227.20999999999998</v>
      </c>
      <c r="O236" s="301">
        <f t="shared" si="44"/>
        <v>286.39999999999998</v>
      </c>
      <c r="P236" s="301">
        <f t="shared" si="44"/>
        <v>4.8380000000000001</v>
      </c>
      <c r="Q236" s="301">
        <f t="shared" si="44"/>
        <v>2.0000000000000004E-2</v>
      </c>
      <c r="R236" s="301">
        <f t="shared" si="44"/>
        <v>104.33000000000001</v>
      </c>
      <c r="S236" s="301">
        <f t="shared" si="44"/>
        <v>7.16</v>
      </c>
    </row>
    <row r="237" spans="1:19" ht="15" customHeight="1">
      <c r="A237" s="405" t="s">
        <v>226</v>
      </c>
      <c r="B237" s="405"/>
      <c r="C237" s="405"/>
      <c r="D237" s="405"/>
      <c r="E237" s="174">
        <f t="shared" ref="E237:S237" si="45">E236/E244</f>
        <v>0.43177777777777787</v>
      </c>
      <c r="F237" s="174">
        <f t="shared" si="45"/>
        <v>0.36369565217391298</v>
      </c>
      <c r="G237" s="174">
        <f t="shared" si="45"/>
        <v>0.24133159268929505</v>
      </c>
      <c r="H237" s="174">
        <f t="shared" si="45"/>
        <v>0.30382352941176471</v>
      </c>
      <c r="I237" s="174">
        <f t="shared" si="45"/>
        <v>0.8928571428571429</v>
      </c>
      <c r="J237" s="174">
        <f t="shared" si="45"/>
        <v>0.40625000000000006</v>
      </c>
      <c r="K237" s="174">
        <f t="shared" si="45"/>
        <v>0.27688571428571429</v>
      </c>
      <c r="L237" s="174">
        <f t="shared" si="45"/>
        <v>1.2444444444444445</v>
      </c>
      <c r="M237" s="174">
        <f t="shared" si="45"/>
        <v>0.29075000000000001</v>
      </c>
      <c r="N237" s="174">
        <f t="shared" si="45"/>
        <v>0.18934166666666666</v>
      </c>
      <c r="O237" s="174">
        <f t="shared" si="45"/>
        <v>0.23866666666666664</v>
      </c>
      <c r="P237" s="174">
        <f t="shared" si="45"/>
        <v>0.34557142857142858</v>
      </c>
      <c r="Q237" s="174">
        <f t="shared" si="45"/>
        <v>0.20000000000000004</v>
      </c>
      <c r="R237" s="174">
        <f t="shared" si="45"/>
        <v>0.34776666666666672</v>
      </c>
      <c r="S237" s="174">
        <f t="shared" si="45"/>
        <v>0.39777777777777779</v>
      </c>
    </row>
    <row r="238" spans="1:19">
      <c r="A238" s="416" t="s">
        <v>237</v>
      </c>
      <c r="B238" s="416"/>
      <c r="C238" s="416"/>
      <c r="D238" s="416"/>
      <c r="E238" s="416"/>
      <c r="F238" s="416"/>
      <c r="G238" s="416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ht="15" customHeight="1">
      <c r="A239" s="310" t="s">
        <v>224</v>
      </c>
      <c r="B239" s="406" t="s">
        <v>238</v>
      </c>
      <c r="C239" s="406"/>
      <c r="D239" s="310">
        <v>100</v>
      </c>
      <c r="E239" s="310">
        <v>7.86</v>
      </c>
      <c r="F239" s="310">
        <v>5.57</v>
      </c>
      <c r="G239" s="310">
        <v>53.71</v>
      </c>
      <c r="H239" s="310">
        <v>297.14</v>
      </c>
      <c r="I239" s="310">
        <v>0.1</v>
      </c>
      <c r="J239" s="310">
        <v>0.04</v>
      </c>
      <c r="K239" s="310">
        <v>0</v>
      </c>
      <c r="L239" s="310">
        <v>0.1</v>
      </c>
      <c r="M239" s="310"/>
      <c r="N239" s="310">
        <v>16.170000000000002</v>
      </c>
      <c r="O239" s="310">
        <v>0</v>
      </c>
      <c r="P239" s="310">
        <v>0</v>
      </c>
      <c r="Q239" s="310">
        <v>0</v>
      </c>
      <c r="R239" s="310">
        <v>11.19</v>
      </c>
      <c r="S239" s="310">
        <v>0.9</v>
      </c>
    </row>
    <row r="240" spans="1:19" ht="15" customHeight="1">
      <c r="A240" s="310">
        <v>349</v>
      </c>
      <c r="B240" s="406" t="s">
        <v>239</v>
      </c>
      <c r="C240" s="406"/>
      <c r="D240" s="310">
        <v>200</v>
      </c>
      <c r="E240" s="310">
        <v>0.22</v>
      </c>
      <c r="F240" s="310">
        <v>0</v>
      </c>
      <c r="G240" s="310">
        <v>24.42</v>
      </c>
      <c r="H240" s="310">
        <v>98.56</v>
      </c>
      <c r="I240" s="310"/>
      <c r="J240" s="310"/>
      <c r="K240" s="310">
        <v>0.2</v>
      </c>
      <c r="L240" s="310"/>
      <c r="M240" s="310"/>
      <c r="N240" s="310">
        <v>22.6</v>
      </c>
      <c r="O240" s="310">
        <v>7.7</v>
      </c>
      <c r="P240" s="310">
        <v>0</v>
      </c>
      <c r="Q240" s="310">
        <v>0</v>
      </c>
      <c r="R240" s="310">
        <v>3</v>
      </c>
      <c r="S240" s="310">
        <v>0.66</v>
      </c>
    </row>
    <row r="241" spans="1:19">
      <c r="A241" s="413" t="s">
        <v>240</v>
      </c>
      <c r="B241" s="414"/>
      <c r="C241" s="415"/>
      <c r="D241" s="301">
        <f>D239+D240</f>
        <v>300</v>
      </c>
      <c r="E241" s="301">
        <f t="shared" ref="E241:S241" si="46">E239+E240</f>
        <v>8.08</v>
      </c>
      <c r="F241" s="301">
        <f t="shared" si="46"/>
        <v>5.57</v>
      </c>
      <c r="G241" s="301">
        <f t="shared" si="46"/>
        <v>78.13</v>
      </c>
      <c r="H241" s="301">
        <f t="shared" si="46"/>
        <v>395.7</v>
      </c>
      <c r="I241" s="301">
        <f t="shared" si="46"/>
        <v>0.1</v>
      </c>
      <c r="J241" s="301">
        <f t="shared" si="46"/>
        <v>0.04</v>
      </c>
      <c r="K241" s="301">
        <f t="shared" si="46"/>
        <v>0.2</v>
      </c>
      <c r="L241" s="301">
        <f t="shared" si="46"/>
        <v>0.1</v>
      </c>
      <c r="M241" s="301">
        <f t="shared" si="46"/>
        <v>0</v>
      </c>
      <c r="N241" s="301">
        <f t="shared" si="46"/>
        <v>38.770000000000003</v>
      </c>
      <c r="O241" s="301">
        <f t="shared" si="46"/>
        <v>7.7</v>
      </c>
      <c r="P241" s="301">
        <f t="shared" si="46"/>
        <v>0</v>
      </c>
      <c r="Q241" s="301">
        <f t="shared" si="46"/>
        <v>0</v>
      </c>
      <c r="R241" s="301">
        <f t="shared" si="46"/>
        <v>14.19</v>
      </c>
      <c r="S241" s="301">
        <f t="shared" si="46"/>
        <v>1.56</v>
      </c>
    </row>
    <row r="242" spans="1:19" ht="15" customHeight="1">
      <c r="A242" s="405" t="s">
        <v>226</v>
      </c>
      <c r="B242" s="405"/>
      <c r="C242" s="405"/>
      <c r="D242" s="405"/>
      <c r="E242" s="174">
        <f>E241/E244</f>
        <v>8.9777777777777776E-2</v>
      </c>
      <c r="F242" s="174">
        <f t="shared" ref="F242:S242" si="47">F241/F244</f>
        <v>6.0543478260869567E-2</v>
      </c>
      <c r="G242" s="174">
        <f t="shared" si="47"/>
        <v>0.2039947780678851</v>
      </c>
      <c r="H242" s="174">
        <f t="shared" si="47"/>
        <v>0.14547794117647059</v>
      </c>
      <c r="I242" s="174">
        <f t="shared" si="47"/>
        <v>7.1428571428571438E-2</v>
      </c>
      <c r="J242" s="174">
        <f t="shared" si="47"/>
        <v>2.4999999999999998E-2</v>
      </c>
      <c r="K242" s="174">
        <f t="shared" si="47"/>
        <v>2.8571428571428571E-3</v>
      </c>
      <c r="L242" s="174">
        <f t="shared" si="47"/>
        <v>0.11111111111111112</v>
      </c>
      <c r="M242" s="174">
        <f t="shared" si="47"/>
        <v>0</v>
      </c>
      <c r="N242" s="174">
        <f t="shared" si="47"/>
        <v>3.2308333333333335E-2</v>
      </c>
      <c r="O242" s="174">
        <f t="shared" si="47"/>
        <v>6.4166666666666669E-3</v>
      </c>
      <c r="P242" s="174">
        <f t="shared" si="47"/>
        <v>0</v>
      </c>
      <c r="Q242" s="174">
        <f t="shared" si="47"/>
        <v>0</v>
      </c>
      <c r="R242" s="174">
        <f t="shared" si="47"/>
        <v>4.7300000000000002E-2</v>
      </c>
      <c r="S242" s="174">
        <f t="shared" si="47"/>
        <v>8.666666666666667E-2</v>
      </c>
    </row>
    <row r="243" spans="1:19" ht="15" customHeight="1">
      <c r="A243" s="405" t="s">
        <v>241</v>
      </c>
      <c r="B243" s="405"/>
      <c r="C243" s="405"/>
      <c r="D243" s="405"/>
      <c r="E243" s="301">
        <f>E241+E236+E226</f>
        <v>66.710000000000008</v>
      </c>
      <c r="F243" s="301">
        <f t="shared" ref="F243:S243" si="48">F241+F236+F226</f>
        <v>58.069999999999993</v>
      </c>
      <c r="G243" s="301">
        <f t="shared" si="48"/>
        <v>247.96</v>
      </c>
      <c r="H243" s="301">
        <f t="shared" si="48"/>
        <v>1782.56</v>
      </c>
      <c r="I243" s="301">
        <f t="shared" si="48"/>
        <v>1.657</v>
      </c>
      <c r="J243" s="301">
        <f t="shared" si="48"/>
        <v>0.99000000000000021</v>
      </c>
      <c r="K243" s="301">
        <f t="shared" si="48"/>
        <v>37.251999999999995</v>
      </c>
      <c r="L243" s="301">
        <f t="shared" si="48"/>
        <v>1.2921000000000002</v>
      </c>
      <c r="M243" s="301">
        <f t="shared" si="48"/>
        <v>4.2889999999999997</v>
      </c>
      <c r="N243" s="301">
        <f t="shared" si="48"/>
        <v>474.56999999999994</v>
      </c>
      <c r="O243" s="301">
        <f t="shared" si="48"/>
        <v>700.27</v>
      </c>
      <c r="P243" s="301">
        <f t="shared" si="48"/>
        <v>6.7279999999999998</v>
      </c>
      <c r="Q243" s="301">
        <f t="shared" si="48"/>
        <v>0.12400000000000001</v>
      </c>
      <c r="R243" s="301">
        <f t="shared" si="48"/>
        <v>212.18</v>
      </c>
      <c r="S243" s="301">
        <f t="shared" si="48"/>
        <v>12.350000000000001</v>
      </c>
    </row>
    <row r="244" spans="1:19" ht="15" customHeight="1">
      <c r="A244" s="405" t="s">
        <v>242</v>
      </c>
      <c r="B244" s="405"/>
      <c r="C244" s="405"/>
      <c r="D244" s="405"/>
      <c r="E244" s="310">
        <v>90</v>
      </c>
      <c r="F244" s="310">
        <v>92</v>
      </c>
      <c r="G244" s="310">
        <v>383</v>
      </c>
      <c r="H244" s="310">
        <v>2720</v>
      </c>
      <c r="I244" s="310">
        <v>1.4</v>
      </c>
      <c r="J244" s="310">
        <v>1.6</v>
      </c>
      <c r="K244" s="310">
        <v>70</v>
      </c>
      <c r="L244" s="310">
        <v>0.9</v>
      </c>
      <c r="M244" s="310">
        <v>12</v>
      </c>
      <c r="N244" s="310">
        <v>1200</v>
      </c>
      <c r="O244" s="310">
        <v>1200</v>
      </c>
      <c r="P244" s="310">
        <v>14</v>
      </c>
      <c r="Q244" s="310">
        <v>0.1</v>
      </c>
      <c r="R244" s="310">
        <v>300</v>
      </c>
      <c r="S244" s="310">
        <v>18</v>
      </c>
    </row>
    <row r="245" spans="1:19" ht="15" customHeight="1">
      <c r="A245" s="405" t="s">
        <v>226</v>
      </c>
      <c r="B245" s="405"/>
      <c r="C245" s="405"/>
      <c r="D245" s="405"/>
      <c r="E245" s="174">
        <f>E243/E244</f>
        <v>0.74122222222222234</v>
      </c>
      <c r="F245" s="174">
        <f t="shared" ref="F245:S245" si="49">F243/F244</f>
        <v>0.63119565217391294</v>
      </c>
      <c r="G245" s="174">
        <f t="shared" si="49"/>
        <v>0.64741514360313313</v>
      </c>
      <c r="H245" s="174">
        <f t="shared" si="49"/>
        <v>0.65535294117647058</v>
      </c>
      <c r="I245" s="174">
        <f t="shared" si="49"/>
        <v>1.1835714285714287</v>
      </c>
      <c r="J245" s="174">
        <f t="shared" si="49"/>
        <v>0.61875000000000013</v>
      </c>
      <c r="K245" s="174">
        <f t="shared" si="49"/>
        <v>0.53217142857142852</v>
      </c>
      <c r="L245" s="174">
        <f t="shared" si="49"/>
        <v>1.4356666666666669</v>
      </c>
      <c r="M245" s="174">
        <f t="shared" si="49"/>
        <v>0.35741666666666666</v>
      </c>
      <c r="N245" s="174">
        <f t="shared" si="49"/>
        <v>0.39547499999999997</v>
      </c>
      <c r="O245" s="174">
        <f t="shared" si="49"/>
        <v>0.58355833333333329</v>
      </c>
      <c r="P245" s="174">
        <f t="shared" si="49"/>
        <v>0.48057142857142854</v>
      </c>
      <c r="Q245" s="174">
        <f t="shared" si="49"/>
        <v>1.24</v>
      </c>
      <c r="R245" s="174">
        <f t="shared" si="49"/>
        <v>0.70726666666666671</v>
      </c>
      <c r="S245" s="174">
        <f t="shared" si="49"/>
        <v>0.68611111111111123</v>
      </c>
    </row>
    <row r="246" spans="1:19">
      <c r="A246" s="474" t="s">
        <v>259</v>
      </c>
      <c r="B246" s="474"/>
      <c r="C246" s="474"/>
      <c r="D246" s="474"/>
      <c r="E246" s="474"/>
      <c r="F246" s="474"/>
      <c r="G246" s="474"/>
      <c r="H246" s="474"/>
      <c r="I246" s="474"/>
      <c r="J246" s="253"/>
      <c r="K246" s="253"/>
      <c r="L246" s="419" t="s">
        <v>187</v>
      </c>
      <c r="M246" s="419"/>
      <c r="N246" s="419"/>
      <c r="O246" s="419"/>
      <c r="P246" s="419"/>
      <c r="Q246" s="419"/>
      <c r="R246" s="419"/>
      <c r="S246" s="419"/>
    </row>
    <row r="248" spans="1:19">
      <c r="A248" s="416" t="s">
        <v>299</v>
      </c>
      <c r="B248" s="416"/>
      <c r="C248" s="416"/>
      <c r="D248" s="416"/>
      <c r="E248" s="416"/>
      <c r="F248" s="416"/>
      <c r="G248" s="416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>
      <c r="A249" s="405" t="s">
        <v>189</v>
      </c>
      <c r="B249" s="405"/>
      <c r="C249" s="253"/>
      <c r="D249" s="253"/>
      <c r="E249" s="253"/>
      <c r="F249" s="445" t="s">
        <v>360</v>
      </c>
      <c r="G249" s="445"/>
      <c r="H249" s="445"/>
      <c r="I249" s="253"/>
      <c r="J249" s="253"/>
      <c r="K249" s="405" t="s">
        <v>191</v>
      </c>
      <c r="L249" s="405"/>
      <c r="M249" s="419" t="s">
        <v>192</v>
      </c>
      <c r="N249" s="419"/>
      <c r="O249" s="419"/>
      <c r="P249" s="419"/>
      <c r="Q249" s="253"/>
      <c r="R249" s="253"/>
      <c r="S249" s="253"/>
    </row>
    <row r="250" spans="1:19">
      <c r="A250" s="253"/>
      <c r="B250" s="253"/>
      <c r="C250" s="253"/>
      <c r="D250" s="416" t="s">
        <v>194</v>
      </c>
      <c r="E250" s="416"/>
      <c r="F250" s="253">
        <v>2</v>
      </c>
      <c r="G250" s="253"/>
      <c r="H250" s="253"/>
      <c r="I250" s="253"/>
      <c r="J250" s="253"/>
      <c r="K250" s="405" t="s">
        <v>195</v>
      </c>
      <c r="L250" s="405"/>
      <c r="M250" s="419" t="s">
        <v>347</v>
      </c>
      <c r="N250" s="419"/>
      <c r="O250" s="419"/>
      <c r="P250" s="419"/>
      <c r="Q250" s="419"/>
      <c r="R250" s="419"/>
      <c r="S250" s="419"/>
    </row>
    <row r="251" spans="1:19">
      <c r="A251" s="256" t="s">
        <v>0</v>
      </c>
      <c r="B251" s="444" t="s">
        <v>198</v>
      </c>
      <c r="C251" s="444"/>
      <c r="D251" s="444" t="s">
        <v>199</v>
      </c>
      <c r="E251" s="444" t="s">
        <v>200</v>
      </c>
      <c r="F251" s="444"/>
      <c r="G251" s="444"/>
      <c r="H251" s="256" t="s">
        <v>201</v>
      </c>
      <c r="I251" s="444" t="s">
        <v>202</v>
      </c>
      <c r="J251" s="444"/>
      <c r="K251" s="444"/>
      <c r="L251" s="444"/>
      <c r="M251" s="444"/>
      <c r="N251" s="444" t="s">
        <v>203</v>
      </c>
      <c r="O251" s="444"/>
      <c r="P251" s="444"/>
      <c r="Q251" s="444"/>
      <c r="R251" s="444"/>
      <c r="S251" s="444"/>
    </row>
    <row r="252" spans="1:19" ht="38.25">
      <c r="A252" s="256" t="s">
        <v>245</v>
      </c>
      <c r="B252" s="444"/>
      <c r="C252" s="444"/>
      <c r="D252" s="444"/>
      <c r="E252" s="256" t="s">
        <v>204</v>
      </c>
      <c r="F252" s="256" t="s">
        <v>205</v>
      </c>
      <c r="G252" s="256" t="s">
        <v>206</v>
      </c>
      <c r="H252" s="256" t="s">
        <v>207</v>
      </c>
      <c r="I252" s="256" t="s">
        <v>208</v>
      </c>
      <c r="J252" s="256" t="s">
        <v>209</v>
      </c>
      <c r="K252" s="256" t="s">
        <v>210</v>
      </c>
      <c r="L252" s="256" t="s">
        <v>211</v>
      </c>
      <c r="M252" s="256" t="s">
        <v>212</v>
      </c>
      <c r="N252" s="256" t="s">
        <v>213</v>
      </c>
      <c r="O252" s="256" t="s">
        <v>214</v>
      </c>
      <c r="P252" s="256" t="s">
        <v>215</v>
      </c>
      <c r="Q252" s="256" t="s">
        <v>216</v>
      </c>
      <c r="R252" s="256" t="s">
        <v>217</v>
      </c>
      <c r="S252" s="256" t="s">
        <v>218</v>
      </c>
    </row>
    <row r="253" spans="1:19">
      <c r="A253" s="254">
        <v>1</v>
      </c>
      <c r="B253" s="418">
        <v>2</v>
      </c>
      <c r="C253" s="418"/>
      <c r="D253" s="254">
        <v>3</v>
      </c>
      <c r="E253" s="254">
        <v>4</v>
      </c>
      <c r="F253" s="254">
        <v>5</v>
      </c>
      <c r="G253" s="254">
        <v>6</v>
      </c>
      <c r="H253" s="254">
        <v>7</v>
      </c>
      <c r="I253" s="254">
        <v>8</v>
      </c>
      <c r="J253" s="254">
        <v>9</v>
      </c>
      <c r="K253" s="254">
        <v>10</v>
      </c>
      <c r="L253" s="254">
        <v>11</v>
      </c>
      <c r="M253" s="254">
        <v>12</v>
      </c>
      <c r="N253" s="254">
        <v>13</v>
      </c>
      <c r="O253" s="254">
        <v>14</v>
      </c>
      <c r="P253" s="254">
        <v>15</v>
      </c>
      <c r="Q253" s="254">
        <v>16</v>
      </c>
      <c r="R253" s="254">
        <v>17</v>
      </c>
      <c r="S253" s="254">
        <v>18</v>
      </c>
    </row>
    <row r="254" spans="1:19">
      <c r="A254" s="416" t="s">
        <v>219</v>
      </c>
      <c r="B254" s="416"/>
      <c r="C254" s="416"/>
      <c r="D254" s="416"/>
      <c r="E254" s="416"/>
      <c r="F254" s="416"/>
      <c r="G254" s="416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ht="18" customHeight="1">
      <c r="A255" s="181" t="s">
        <v>264</v>
      </c>
      <c r="B255" s="427" t="s">
        <v>265</v>
      </c>
      <c r="C255" s="427"/>
      <c r="D255" s="305">
        <v>30</v>
      </c>
      <c r="E255" s="305">
        <v>0.15</v>
      </c>
      <c r="F255" s="305">
        <v>0</v>
      </c>
      <c r="G255" s="305">
        <v>17.850000000000001</v>
      </c>
      <c r="H255" s="305">
        <v>71.7</v>
      </c>
      <c r="I255" s="305"/>
      <c r="J255" s="305"/>
      <c r="K255" s="305"/>
      <c r="L255" s="305"/>
      <c r="M255" s="305"/>
      <c r="N255" s="305"/>
      <c r="O255" s="305"/>
      <c r="P255" s="305"/>
      <c r="Q255" s="305"/>
      <c r="R255" s="305"/>
      <c r="S255" s="305"/>
    </row>
    <row r="256" spans="1:19" ht="15" customHeight="1">
      <c r="A256" s="310">
        <v>222</v>
      </c>
      <c r="B256" s="406" t="s">
        <v>181</v>
      </c>
      <c r="C256" s="406"/>
      <c r="D256" s="310">
        <v>200</v>
      </c>
      <c r="E256" s="310">
        <v>17.920000000000002</v>
      </c>
      <c r="F256" s="310">
        <v>20.6</v>
      </c>
      <c r="G256" s="310">
        <v>43.2</v>
      </c>
      <c r="H256" s="310">
        <v>429.51</v>
      </c>
      <c r="I256" s="310">
        <v>0.11</v>
      </c>
      <c r="J256" s="310">
        <v>0.4</v>
      </c>
      <c r="K256" s="310">
        <v>0.56000000000000005</v>
      </c>
      <c r="L256" s="310">
        <v>0.26</v>
      </c>
      <c r="M256" s="310">
        <v>1.8</v>
      </c>
      <c r="N256" s="310">
        <v>169</v>
      </c>
      <c r="O256" s="310">
        <v>341.9</v>
      </c>
      <c r="P256" s="310">
        <v>2.2000000000000002</v>
      </c>
      <c r="Q256" s="310">
        <v>8.0000000000000002E-3</v>
      </c>
      <c r="R256" s="310">
        <v>57.07</v>
      </c>
      <c r="S256" s="310">
        <v>1.54</v>
      </c>
    </row>
    <row r="257" spans="1:19" ht="15" customHeight="1">
      <c r="A257" s="305">
        <v>376</v>
      </c>
      <c r="B257" s="417" t="s">
        <v>141</v>
      </c>
      <c r="C257" s="417"/>
      <c r="D257" s="305">
        <v>200</v>
      </c>
      <c r="E257" s="305">
        <v>0.2</v>
      </c>
      <c r="F257" s="305">
        <v>0.05</v>
      </c>
      <c r="G257" s="305">
        <v>15.01</v>
      </c>
      <c r="H257" s="305">
        <v>61</v>
      </c>
      <c r="I257" s="305">
        <v>0</v>
      </c>
      <c r="J257" s="305">
        <v>0.01</v>
      </c>
      <c r="K257" s="305">
        <v>9</v>
      </c>
      <c r="L257" s="305">
        <v>1E-4</v>
      </c>
      <c r="M257" s="305">
        <v>4.4999999999999998E-2</v>
      </c>
      <c r="N257" s="305">
        <v>5.25</v>
      </c>
      <c r="O257" s="305">
        <v>8.24</v>
      </c>
      <c r="P257" s="305">
        <v>8.0000000000000002E-3</v>
      </c>
      <c r="Q257" s="305">
        <v>0</v>
      </c>
      <c r="R257" s="305">
        <v>4.4000000000000004</v>
      </c>
      <c r="S257" s="305">
        <v>0.87</v>
      </c>
    </row>
    <row r="258" spans="1:19" ht="15" customHeight="1">
      <c r="A258" s="310" t="s">
        <v>224</v>
      </c>
      <c r="B258" s="406" t="s">
        <v>267</v>
      </c>
      <c r="C258" s="406"/>
      <c r="D258" s="310">
        <v>40</v>
      </c>
      <c r="E258" s="310">
        <v>2.67</v>
      </c>
      <c r="F258" s="310">
        <v>0.53</v>
      </c>
      <c r="G258" s="310">
        <v>13.73</v>
      </c>
      <c r="H258" s="310">
        <v>70.400000000000006</v>
      </c>
      <c r="I258" s="310">
        <v>0.13</v>
      </c>
      <c r="J258" s="310">
        <v>1.2999999999999999E-2</v>
      </c>
      <c r="K258" s="310">
        <v>0.1</v>
      </c>
      <c r="L258" s="310">
        <v>0</v>
      </c>
      <c r="M258" s="310">
        <v>0.93</v>
      </c>
      <c r="N258" s="310">
        <v>14</v>
      </c>
      <c r="O258" s="310">
        <v>63.2</v>
      </c>
      <c r="P258" s="310">
        <v>1.2999999999999999E-2</v>
      </c>
      <c r="Q258" s="310">
        <v>1.2999999999999999E-2</v>
      </c>
      <c r="R258" s="310">
        <v>18.8</v>
      </c>
      <c r="S258" s="310">
        <v>1.6</v>
      </c>
    </row>
    <row r="259" spans="1:19" ht="15" customHeight="1">
      <c r="A259" s="405" t="s">
        <v>225</v>
      </c>
      <c r="B259" s="405"/>
      <c r="C259" s="405"/>
      <c r="D259" s="301">
        <f t="shared" ref="D259:S259" si="50">SUM(D255:D258)</f>
        <v>470</v>
      </c>
      <c r="E259" s="301">
        <f t="shared" si="50"/>
        <v>20.939999999999998</v>
      </c>
      <c r="F259" s="301">
        <f t="shared" si="50"/>
        <v>21.180000000000003</v>
      </c>
      <c r="G259" s="301">
        <f t="shared" si="50"/>
        <v>89.79</v>
      </c>
      <c r="H259" s="301">
        <f t="shared" si="50"/>
        <v>632.61</v>
      </c>
      <c r="I259" s="301">
        <f t="shared" si="50"/>
        <v>0.24</v>
      </c>
      <c r="J259" s="301">
        <f t="shared" si="50"/>
        <v>0.42300000000000004</v>
      </c>
      <c r="K259" s="301">
        <f t="shared" si="50"/>
        <v>9.66</v>
      </c>
      <c r="L259" s="301">
        <f t="shared" si="50"/>
        <v>0.2601</v>
      </c>
      <c r="M259" s="301">
        <f t="shared" si="50"/>
        <v>2.7749999999999999</v>
      </c>
      <c r="N259" s="301">
        <f t="shared" si="50"/>
        <v>188.25</v>
      </c>
      <c r="O259" s="301">
        <f t="shared" si="50"/>
        <v>413.34</v>
      </c>
      <c r="P259" s="301">
        <f t="shared" si="50"/>
        <v>2.2210000000000001</v>
      </c>
      <c r="Q259" s="301">
        <f t="shared" si="50"/>
        <v>2.0999999999999998E-2</v>
      </c>
      <c r="R259" s="301">
        <f t="shared" si="50"/>
        <v>80.27</v>
      </c>
      <c r="S259" s="301">
        <f t="shared" si="50"/>
        <v>4.01</v>
      </c>
    </row>
    <row r="260" spans="1:19" ht="15" customHeight="1">
      <c r="A260" s="405" t="s">
        <v>226</v>
      </c>
      <c r="B260" s="405"/>
      <c r="C260" s="405"/>
      <c r="D260" s="405"/>
      <c r="E260" s="174">
        <f t="shared" ref="E260:S260" si="51">E259/E277</f>
        <v>0.23266666666666663</v>
      </c>
      <c r="F260" s="174">
        <f t="shared" si="51"/>
        <v>0.23021739130434787</v>
      </c>
      <c r="G260" s="174">
        <f t="shared" si="51"/>
        <v>0.23443864229765016</v>
      </c>
      <c r="H260" s="174">
        <f t="shared" si="51"/>
        <v>0.23257720588235295</v>
      </c>
      <c r="I260" s="174">
        <f t="shared" si="51"/>
        <v>0.17142857142857143</v>
      </c>
      <c r="J260" s="174">
        <f t="shared" si="51"/>
        <v>0.26437500000000003</v>
      </c>
      <c r="K260" s="174">
        <f t="shared" si="51"/>
        <v>0.13800000000000001</v>
      </c>
      <c r="L260" s="174">
        <f t="shared" si="51"/>
        <v>0.28899999999999998</v>
      </c>
      <c r="M260" s="174">
        <f t="shared" si="51"/>
        <v>0.23124999999999998</v>
      </c>
      <c r="N260" s="174">
        <f t="shared" si="51"/>
        <v>0.15687499999999999</v>
      </c>
      <c r="O260" s="174">
        <f t="shared" si="51"/>
        <v>0.34444999999999998</v>
      </c>
      <c r="P260" s="174">
        <f t="shared" si="51"/>
        <v>0.15864285714285714</v>
      </c>
      <c r="Q260" s="174">
        <f t="shared" si="51"/>
        <v>0.20999999999999996</v>
      </c>
      <c r="R260" s="174">
        <f t="shared" si="51"/>
        <v>0.26756666666666667</v>
      </c>
      <c r="S260" s="174">
        <f t="shared" si="51"/>
        <v>0.22277777777777777</v>
      </c>
    </row>
    <row r="261" spans="1:19" ht="15" customHeight="1">
      <c r="A261" s="416" t="s">
        <v>227</v>
      </c>
      <c r="B261" s="416"/>
      <c r="C261" s="416"/>
      <c r="D261" s="416"/>
      <c r="E261" s="416"/>
      <c r="F261" s="416"/>
      <c r="G261" s="416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ht="15" customHeight="1">
      <c r="A262" s="305" t="s">
        <v>313</v>
      </c>
      <c r="B262" s="417" t="s">
        <v>314</v>
      </c>
      <c r="C262" s="417"/>
      <c r="D262" s="310">
        <v>100</v>
      </c>
      <c r="E262" s="310">
        <v>1.27</v>
      </c>
      <c r="F262" s="310">
        <v>2.88</v>
      </c>
      <c r="G262" s="310">
        <v>7.1</v>
      </c>
      <c r="H262" s="310">
        <v>56.95</v>
      </c>
      <c r="I262" s="310">
        <v>0.05</v>
      </c>
      <c r="J262" s="310">
        <v>0</v>
      </c>
      <c r="K262" s="310">
        <v>4.0199999999999996</v>
      </c>
      <c r="L262" s="310">
        <v>0.05</v>
      </c>
      <c r="M262" s="310"/>
      <c r="N262" s="310">
        <v>30.82</v>
      </c>
      <c r="O262" s="310">
        <v>52.26</v>
      </c>
      <c r="P262" s="310"/>
      <c r="Q262" s="310">
        <v>0</v>
      </c>
      <c r="R262" s="310">
        <v>34.17</v>
      </c>
      <c r="S262" s="310">
        <v>0.06</v>
      </c>
    </row>
    <row r="263" spans="1:19" ht="23.25" customHeight="1">
      <c r="A263" s="310">
        <v>71</v>
      </c>
      <c r="B263" s="406" t="s">
        <v>173</v>
      </c>
      <c r="C263" s="406"/>
      <c r="D263" s="310">
        <v>100</v>
      </c>
      <c r="E263" s="310">
        <v>1</v>
      </c>
      <c r="F263" s="310">
        <v>4.5</v>
      </c>
      <c r="G263" s="310">
        <v>14.5</v>
      </c>
      <c r="H263" s="310">
        <v>100</v>
      </c>
      <c r="I263" s="310">
        <v>0.02</v>
      </c>
      <c r="J263" s="310">
        <v>0.03</v>
      </c>
      <c r="K263" s="310">
        <v>3.83</v>
      </c>
      <c r="L263" s="310">
        <v>0.02</v>
      </c>
      <c r="M263" s="310"/>
      <c r="N263" s="310">
        <v>20.48</v>
      </c>
      <c r="O263" s="310">
        <v>0</v>
      </c>
      <c r="P263" s="310"/>
      <c r="Q263" s="310">
        <v>0</v>
      </c>
      <c r="R263" s="310">
        <v>11.7</v>
      </c>
      <c r="S263" s="310">
        <v>0.53</v>
      </c>
    </row>
    <row r="264" spans="1:19" ht="15" customHeight="1">
      <c r="A264" s="310" t="s">
        <v>289</v>
      </c>
      <c r="B264" s="410" t="s">
        <v>315</v>
      </c>
      <c r="C264" s="411"/>
      <c r="D264" s="310">
        <v>250</v>
      </c>
      <c r="E264" s="310">
        <v>2.63</v>
      </c>
      <c r="F264" s="310">
        <v>2.63</v>
      </c>
      <c r="G264" s="310">
        <v>19.38</v>
      </c>
      <c r="H264" s="310">
        <v>112.5</v>
      </c>
      <c r="I264" s="310">
        <v>0.1</v>
      </c>
      <c r="J264" s="310">
        <v>0.05</v>
      </c>
      <c r="K264" s="310">
        <v>7</v>
      </c>
      <c r="L264" s="310">
        <v>0.1</v>
      </c>
      <c r="M264" s="310"/>
      <c r="N264" s="310">
        <v>15.8</v>
      </c>
      <c r="O264" s="310">
        <v>0</v>
      </c>
      <c r="P264" s="310"/>
      <c r="Q264" s="310">
        <v>0</v>
      </c>
      <c r="R264" s="310">
        <v>24</v>
      </c>
      <c r="S264" s="310">
        <v>0.9</v>
      </c>
    </row>
    <row r="265" spans="1:19" ht="21.75" customHeight="1">
      <c r="A265" s="310">
        <v>259</v>
      </c>
      <c r="B265" s="406" t="s">
        <v>316</v>
      </c>
      <c r="C265" s="406"/>
      <c r="D265" s="310">
        <v>280</v>
      </c>
      <c r="E265" s="310">
        <v>20</v>
      </c>
      <c r="F265" s="310">
        <v>21.01</v>
      </c>
      <c r="G265" s="310">
        <v>35.71</v>
      </c>
      <c r="H265" s="310">
        <v>411.9</v>
      </c>
      <c r="I265" s="310">
        <v>0.31</v>
      </c>
      <c r="J265" s="310">
        <v>0.28000000000000003</v>
      </c>
      <c r="K265" s="310">
        <v>43.82</v>
      </c>
      <c r="L265" s="310">
        <v>7.0000000000000007E-2</v>
      </c>
      <c r="M265" s="310">
        <v>0.42</v>
      </c>
      <c r="N265" s="310">
        <v>59.08</v>
      </c>
      <c r="O265" s="310">
        <v>305.5</v>
      </c>
      <c r="P265" s="310">
        <v>4.2</v>
      </c>
      <c r="Q265" s="310">
        <v>2E-3</v>
      </c>
      <c r="R265" s="310">
        <v>78.22</v>
      </c>
      <c r="S265" s="310">
        <v>4.6500000000000004</v>
      </c>
    </row>
    <row r="266" spans="1:19" ht="15" customHeight="1">
      <c r="A266" s="310">
        <v>377</v>
      </c>
      <c r="B266" s="406" t="s">
        <v>149</v>
      </c>
      <c r="C266" s="406"/>
      <c r="D266" s="310" t="s">
        <v>234</v>
      </c>
      <c r="E266" s="310">
        <v>0.26</v>
      </c>
      <c r="F266" s="310">
        <v>0.06</v>
      </c>
      <c r="G266" s="310">
        <v>15.22</v>
      </c>
      <c r="H266" s="310">
        <v>62.5</v>
      </c>
      <c r="I266" s="310"/>
      <c r="J266" s="310">
        <v>0.01</v>
      </c>
      <c r="K266" s="310">
        <v>2.9</v>
      </c>
      <c r="L266" s="310">
        <v>0</v>
      </c>
      <c r="M266" s="310">
        <v>0.06</v>
      </c>
      <c r="N266" s="310">
        <v>8.0500000000000007</v>
      </c>
      <c r="O266" s="310">
        <v>9.7799999999999994</v>
      </c>
      <c r="P266" s="310">
        <v>1.7000000000000001E-2</v>
      </c>
      <c r="Q266" s="310">
        <v>0</v>
      </c>
      <c r="R266" s="310">
        <v>5.24</v>
      </c>
      <c r="S266" s="310">
        <v>0.87</v>
      </c>
    </row>
    <row r="267" spans="1:19" ht="15" customHeight="1">
      <c r="A267" s="310" t="s">
        <v>224</v>
      </c>
      <c r="B267" s="406" t="s">
        <v>235</v>
      </c>
      <c r="C267" s="406"/>
      <c r="D267" s="310">
        <v>40</v>
      </c>
      <c r="E267" s="310">
        <v>2.64</v>
      </c>
      <c r="F267" s="310">
        <v>0.48</v>
      </c>
      <c r="G267" s="310">
        <v>13.68</v>
      </c>
      <c r="H267" s="310">
        <v>69.599999999999994</v>
      </c>
      <c r="I267" s="310">
        <v>0.08</v>
      </c>
      <c r="J267" s="310">
        <v>0.04</v>
      </c>
      <c r="K267" s="310">
        <v>0</v>
      </c>
      <c r="L267" s="310">
        <v>0</v>
      </c>
      <c r="M267" s="310">
        <v>2.4</v>
      </c>
      <c r="N267" s="310">
        <v>14</v>
      </c>
      <c r="O267" s="310">
        <v>63.2</v>
      </c>
      <c r="P267" s="310">
        <v>1.2</v>
      </c>
      <c r="Q267" s="310">
        <v>1E-3</v>
      </c>
      <c r="R267" s="310">
        <v>9.4</v>
      </c>
      <c r="S267" s="310">
        <v>0.78</v>
      </c>
    </row>
    <row r="268" spans="1:19" ht="15" customHeight="1">
      <c r="A268" s="310" t="s">
        <v>224</v>
      </c>
      <c r="B268" s="406" t="s">
        <v>117</v>
      </c>
      <c r="C268" s="406"/>
      <c r="D268" s="310">
        <v>30</v>
      </c>
      <c r="E268" s="310">
        <v>1.52</v>
      </c>
      <c r="F268" s="310">
        <v>0.16</v>
      </c>
      <c r="G268" s="310">
        <v>9.84</v>
      </c>
      <c r="H268" s="310">
        <v>46.9</v>
      </c>
      <c r="I268" s="310">
        <v>0.02</v>
      </c>
      <c r="J268" s="310">
        <v>0.01</v>
      </c>
      <c r="K268" s="310">
        <v>0.44</v>
      </c>
      <c r="L268" s="310">
        <v>0</v>
      </c>
      <c r="M268" s="310">
        <v>0.7</v>
      </c>
      <c r="N268" s="310">
        <v>4</v>
      </c>
      <c r="O268" s="310">
        <v>13</v>
      </c>
      <c r="P268" s="310">
        <v>8.0000000000000002E-3</v>
      </c>
      <c r="Q268" s="310">
        <v>1E-3</v>
      </c>
      <c r="R268" s="310">
        <v>0</v>
      </c>
      <c r="S268" s="310">
        <v>0.22</v>
      </c>
    </row>
    <row r="269" spans="1:19" ht="15" customHeight="1">
      <c r="A269" s="405" t="s">
        <v>236</v>
      </c>
      <c r="B269" s="405"/>
      <c r="C269" s="405"/>
      <c r="D269" s="301">
        <f>D263+D264+D265+D267+D268+204</f>
        <v>904</v>
      </c>
      <c r="E269" s="301">
        <f>SUM(E263:E268)</f>
        <v>28.05</v>
      </c>
      <c r="F269" s="301">
        <f t="shared" ref="F269:S269" si="52">SUM(F263:F268)</f>
        <v>28.84</v>
      </c>
      <c r="G269" s="301">
        <f t="shared" si="52"/>
        <v>108.33000000000001</v>
      </c>
      <c r="H269" s="301">
        <f t="shared" si="52"/>
        <v>803.4</v>
      </c>
      <c r="I269" s="301">
        <f t="shared" si="52"/>
        <v>0.53</v>
      </c>
      <c r="J269" s="301">
        <f t="shared" si="52"/>
        <v>0.42000000000000004</v>
      </c>
      <c r="K269" s="301">
        <f t="shared" si="52"/>
        <v>57.989999999999995</v>
      </c>
      <c r="L269" s="301">
        <f t="shared" si="52"/>
        <v>0.19</v>
      </c>
      <c r="M269" s="301">
        <f t="shared" si="52"/>
        <v>3.58</v>
      </c>
      <c r="N269" s="301">
        <f t="shared" si="52"/>
        <v>121.41</v>
      </c>
      <c r="O269" s="301">
        <f t="shared" si="52"/>
        <v>391.47999999999996</v>
      </c>
      <c r="P269" s="301">
        <f t="shared" si="52"/>
        <v>5.4250000000000007</v>
      </c>
      <c r="Q269" s="301">
        <f t="shared" si="52"/>
        <v>4.0000000000000001E-3</v>
      </c>
      <c r="R269" s="301">
        <f t="shared" si="52"/>
        <v>128.56</v>
      </c>
      <c r="S269" s="301">
        <f t="shared" si="52"/>
        <v>7.95</v>
      </c>
    </row>
    <row r="270" spans="1:19" ht="15" customHeight="1">
      <c r="A270" s="405" t="s">
        <v>226</v>
      </c>
      <c r="B270" s="405"/>
      <c r="C270" s="405"/>
      <c r="D270" s="405"/>
      <c r="E270" s="174">
        <f t="shared" ref="E270:S270" si="53">E269/E277</f>
        <v>0.31166666666666665</v>
      </c>
      <c r="F270" s="174">
        <f t="shared" si="53"/>
        <v>0.31347826086956521</v>
      </c>
      <c r="G270" s="174">
        <f t="shared" si="53"/>
        <v>0.28284595300261101</v>
      </c>
      <c r="H270" s="174">
        <f t="shared" si="53"/>
        <v>0.29536764705882351</v>
      </c>
      <c r="I270" s="174">
        <f t="shared" si="53"/>
        <v>0.37857142857142861</v>
      </c>
      <c r="J270" s="174">
        <f t="shared" si="53"/>
        <v>0.26250000000000001</v>
      </c>
      <c r="K270" s="174">
        <f t="shared" si="53"/>
        <v>0.8284285714285714</v>
      </c>
      <c r="L270" s="174">
        <f t="shared" si="53"/>
        <v>0.21111111111111111</v>
      </c>
      <c r="M270" s="174">
        <f t="shared" si="53"/>
        <v>0.29833333333333334</v>
      </c>
      <c r="N270" s="174">
        <f t="shared" si="53"/>
        <v>0.101175</v>
      </c>
      <c r="O270" s="174">
        <f t="shared" si="53"/>
        <v>0.32623333333333332</v>
      </c>
      <c r="P270" s="174">
        <f t="shared" si="53"/>
        <v>0.38750000000000007</v>
      </c>
      <c r="Q270" s="174">
        <f t="shared" si="53"/>
        <v>0.04</v>
      </c>
      <c r="R270" s="174">
        <f t="shared" si="53"/>
        <v>0.42853333333333332</v>
      </c>
      <c r="S270" s="174">
        <f t="shared" si="53"/>
        <v>0.44166666666666665</v>
      </c>
    </row>
    <row r="271" spans="1:19" ht="15" customHeight="1">
      <c r="A271" s="416" t="s">
        <v>237</v>
      </c>
      <c r="B271" s="416"/>
      <c r="C271" s="416"/>
      <c r="D271" s="416"/>
      <c r="E271" s="416"/>
      <c r="F271" s="416"/>
      <c r="G271" s="416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ht="15" customHeight="1">
      <c r="A272" s="310" t="s">
        <v>224</v>
      </c>
      <c r="B272" s="406" t="s">
        <v>274</v>
      </c>
      <c r="C272" s="406"/>
      <c r="D272" s="310">
        <v>100</v>
      </c>
      <c r="E272" s="310">
        <v>13.08</v>
      </c>
      <c r="F272" s="310">
        <v>6.06</v>
      </c>
      <c r="G272" s="310">
        <v>49.58</v>
      </c>
      <c r="H272" s="310">
        <v>306</v>
      </c>
      <c r="I272" s="310">
        <v>0.14000000000000001</v>
      </c>
      <c r="J272" s="310">
        <v>0.18</v>
      </c>
      <c r="K272" s="310">
        <v>0.18</v>
      </c>
      <c r="L272" s="310">
        <v>0.14000000000000001</v>
      </c>
      <c r="M272" s="310"/>
      <c r="N272" s="310">
        <v>75.8</v>
      </c>
      <c r="O272" s="310">
        <v>140</v>
      </c>
      <c r="P272" s="310"/>
      <c r="Q272" s="310">
        <v>0</v>
      </c>
      <c r="R272" s="310">
        <v>34.6</v>
      </c>
      <c r="S272" s="310">
        <v>1.52</v>
      </c>
    </row>
    <row r="273" spans="1:19">
      <c r="A273" s="310">
        <v>349</v>
      </c>
      <c r="B273" s="406" t="s">
        <v>239</v>
      </c>
      <c r="C273" s="406"/>
      <c r="D273" s="310">
        <v>200</v>
      </c>
      <c r="E273" s="310">
        <v>0.22</v>
      </c>
      <c r="F273" s="310">
        <v>0</v>
      </c>
      <c r="G273" s="310">
        <v>24.42</v>
      </c>
      <c r="H273" s="310">
        <v>98.56</v>
      </c>
      <c r="I273" s="310"/>
      <c r="J273" s="310"/>
      <c r="K273" s="310">
        <v>0.2</v>
      </c>
      <c r="L273" s="310"/>
      <c r="M273" s="310"/>
      <c r="N273" s="310">
        <v>22.6</v>
      </c>
      <c r="O273" s="310">
        <v>7.7</v>
      </c>
      <c r="P273" s="310">
        <v>0</v>
      </c>
      <c r="Q273" s="310">
        <v>0</v>
      </c>
      <c r="R273" s="310">
        <v>3</v>
      </c>
      <c r="S273" s="310">
        <v>0.66</v>
      </c>
    </row>
    <row r="274" spans="1:19" ht="15" customHeight="1">
      <c r="A274" s="413" t="s">
        <v>240</v>
      </c>
      <c r="B274" s="414"/>
      <c r="C274" s="415"/>
      <c r="D274" s="301">
        <f>SUM(D272:D273)</f>
        <v>300</v>
      </c>
      <c r="E274" s="301">
        <f t="shared" ref="E274:S274" si="54">SUM(E272:E273)</f>
        <v>13.3</v>
      </c>
      <c r="F274" s="301">
        <f t="shared" si="54"/>
        <v>6.06</v>
      </c>
      <c r="G274" s="301">
        <f t="shared" si="54"/>
        <v>74</v>
      </c>
      <c r="H274" s="301">
        <f t="shared" si="54"/>
        <v>404.56</v>
      </c>
      <c r="I274" s="301">
        <f t="shared" si="54"/>
        <v>0.14000000000000001</v>
      </c>
      <c r="J274" s="301">
        <f t="shared" si="54"/>
        <v>0.18</v>
      </c>
      <c r="K274" s="301">
        <f t="shared" si="54"/>
        <v>0.38</v>
      </c>
      <c r="L274" s="301">
        <f t="shared" si="54"/>
        <v>0.14000000000000001</v>
      </c>
      <c r="M274" s="301">
        <f t="shared" si="54"/>
        <v>0</v>
      </c>
      <c r="N274" s="301">
        <f t="shared" si="54"/>
        <v>98.4</v>
      </c>
      <c r="O274" s="301">
        <f t="shared" si="54"/>
        <v>147.69999999999999</v>
      </c>
      <c r="P274" s="301">
        <f t="shared" si="54"/>
        <v>0</v>
      </c>
      <c r="Q274" s="301">
        <f t="shared" si="54"/>
        <v>0</v>
      </c>
      <c r="R274" s="301">
        <f t="shared" si="54"/>
        <v>37.6</v>
      </c>
      <c r="S274" s="301">
        <f t="shared" si="54"/>
        <v>2.1800000000000002</v>
      </c>
    </row>
    <row r="275" spans="1:19" ht="15" customHeight="1">
      <c r="A275" s="405" t="s">
        <v>226</v>
      </c>
      <c r="B275" s="405"/>
      <c r="C275" s="405"/>
      <c r="D275" s="405"/>
      <c r="E275" s="174">
        <f>E274/E277</f>
        <v>0.14777777777777779</v>
      </c>
      <c r="F275" s="174">
        <f t="shared" ref="F275:S275" si="55">F274/F277</f>
        <v>6.5869565217391304E-2</v>
      </c>
      <c r="G275" s="174">
        <f t="shared" si="55"/>
        <v>0.19321148825065274</v>
      </c>
      <c r="H275" s="174">
        <f t="shared" si="55"/>
        <v>0.14873529411764705</v>
      </c>
      <c r="I275" s="174">
        <f t="shared" si="55"/>
        <v>0.10000000000000002</v>
      </c>
      <c r="J275" s="174">
        <f t="shared" si="55"/>
        <v>0.11249999999999999</v>
      </c>
      <c r="K275" s="174">
        <f t="shared" si="55"/>
        <v>5.4285714285714284E-3</v>
      </c>
      <c r="L275" s="174">
        <f t="shared" si="55"/>
        <v>0.15555555555555556</v>
      </c>
      <c r="M275" s="174">
        <f t="shared" si="55"/>
        <v>0</v>
      </c>
      <c r="N275" s="174">
        <f t="shared" si="55"/>
        <v>8.2000000000000003E-2</v>
      </c>
      <c r="O275" s="174">
        <f t="shared" si="55"/>
        <v>0.12308333333333332</v>
      </c>
      <c r="P275" s="174">
        <f t="shared" si="55"/>
        <v>0</v>
      </c>
      <c r="Q275" s="174">
        <f t="shared" si="55"/>
        <v>0</v>
      </c>
      <c r="R275" s="174">
        <f t="shared" si="55"/>
        <v>0.12533333333333332</v>
      </c>
      <c r="S275" s="174">
        <f t="shared" si="55"/>
        <v>0.12111111111111111</v>
      </c>
    </row>
    <row r="276" spans="1:19">
      <c r="A276" s="405" t="s">
        <v>241</v>
      </c>
      <c r="B276" s="405"/>
      <c r="C276" s="405"/>
      <c r="D276" s="405"/>
      <c r="E276" s="301">
        <f>E274+E269+E259</f>
        <v>62.29</v>
      </c>
      <c r="F276" s="301">
        <f t="shared" ref="F276:S276" si="56">F274+F269+F259</f>
        <v>56.08</v>
      </c>
      <c r="G276" s="301">
        <f t="shared" si="56"/>
        <v>272.12</v>
      </c>
      <c r="H276" s="301">
        <f t="shared" si="56"/>
        <v>1840.5700000000002</v>
      </c>
      <c r="I276" s="301">
        <f t="shared" si="56"/>
        <v>0.91</v>
      </c>
      <c r="J276" s="301">
        <f t="shared" si="56"/>
        <v>1.0230000000000001</v>
      </c>
      <c r="K276" s="301">
        <f t="shared" si="56"/>
        <v>68.03</v>
      </c>
      <c r="L276" s="301">
        <f t="shared" si="56"/>
        <v>0.59010000000000007</v>
      </c>
      <c r="M276" s="301">
        <f t="shared" si="56"/>
        <v>6.3550000000000004</v>
      </c>
      <c r="N276" s="301">
        <f t="shared" si="56"/>
        <v>408.06</v>
      </c>
      <c r="O276" s="301">
        <f t="shared" si="56"/>
        <v>952.52</v>
      </c>
      <c r="P276" s="301">
        <f t="shared" si="56"/>
        <v>7.6460000000000008</v>
      </c>
      <c r="Q276" s="301">
        <f t="shared" si="56"/>
        <v>2.4999999999999998E-2</v>
      </c>
      <c r="R276" s="301">
        <f t="shared" si="56"/>
        <v>246.43</v>
      </c>
      <c r="S276" s="301">
        <f t="shared" si="56"/>
        <v>14.14</v>
      </c>
    </row>
    <row r="277" spans="1:19" ht="15" customHeight="1">
      <c r="A277" s="405" t="s">
        <v>242</v>
      </c>
      <c r="B277" s="405"/>
      <c r="C277" s="405"/>
      <c r="D277" s="405"/>
      <c r="E277" s="310">
        <v>90</v>
      </c>
      <c r="F277" s="310">
        <v>92</v>
      </c>
      <c r="G277" s="310">
        <v>383</v>
      </c>
      <c r="H277" s="310">
        <v>2720</v>
      </c>
      <c r="I277" s="310">
        <v>1.4</v>
      </c>
      <c r="J277" s="310">
        <v>1.6</v>
      </c>
      <c r="K277" s="310">
        <v>70</v>
      </c>
      <c r="L277" s="310">
        <v>0.9</v>
      </c>
      <c r="M277" s="310">
        <v>12</v>
      </c>
      <c r="N277" s="310">
        <v>1200</v>
      </c>
      <c r="O277" s="310">
        <v>1200</v>
      </c>
      <c r="P277" s="310">
        <v>14</v>
      </c>
      <c r="Q277" s="310">
        <v>0.1</v>
      </c>
      <c r="R277" s="310">
        <v>300</v>
      </c>
      <c r="S277" s="310">
        <v>18</v>
      </c>
    </row>
    <row r="278" spans="1:19" ht="15" customHeight="1">
      <c r="A278" s="405" t="s">
        <v>226</v>
      </c>
      <c r="B278" s="405"/>
      <c r="C278" s="405"/>
      <c r="D278" s="405"/>
      <c r="E278" s="174">
        <f>E276/E277</f>
        <v>0.69211111111111112</v>
      </c>
      <c r="F278" s="174">
        <f t="shared" ref="F278:S278" si="57">F276/F277</f>
        <v>0.60956521739130431</v>
      </c>
      <c r="G278" s="174">
        <f t="shared" si="57"/>
        <v>0.71049608355091387</v>
      </c>
      <c r="H278" s="174">
        <f t="shared" si="57"/>
        <v>0.67668014705882362</v>
      </c>
      <c r="I278" s="174">
        <f t="shared" si="57"/>
        <v>0.65</v>
      </c>
      <c r="J278" s="174">
        <f t="shared" si="57"/>
        <v>0.63937500000000003</v>
      </c>
      <c r="K278" s="174">
        <f t="shared" si="57"/>
        <v>0.97185714285714286</v>
      </c>
      <c r="L278" s="174">
        <f t="shared" si="57"/>
        <v>0.65566666666666673</v>
      </c>
      <c r="M278" s="174">
        <f t="shared" si="57"/>
        <v>0.52958333333333341</v>
      </c>
      <c r="N278" s="174">
        <f t="shared" si="57"/>
        <v>0.34005000000000002</v>
      </c>
      <c r="O278" s="174">
        <f t="shared" si="57"/>
        <v>0.79376666666666662</v>
      </c>
      <c r="P278" s="174">
        <f t="shared" si="57"/>
        <v>0.54614285714285715</v>
      </c>
      <c r="Q278" s="174">
        <f t="shared" si="57"/>
        <v>0.24999999999999997</v>
      </c>
      <c r="R278" s="174">
        <f t="shared" si="57"/>
        <v>0.82143333333333335</v>
      </c>
      <c r="S278" s="174">
        <f t="shared" si="57"/>
        <v>0.78555555555555556</v>
      </c>
    </row>
    <row r="279" spans="1:19" ht="15" customHeight="1">
      <c r="A279" s="405"/>
      <c r="B279" s="405"/>
      <c r="C279" s="405"/>
      <c r="D279" s="405"/>
      <c r="E279" s="310"/>
      <c r="F279" s="310"/>
      <c r="G279" s="310"/>
      <c r="H279" s="310"/>
      <c r="I279" s="310"/>
      <c r="J279" s="310"/>
      <c r="K279" s="310"/>
      <c r="L279" s="310"/>
      <c r="M279" s="310"/>
      <c r="N279" s="310"/>
      <c r="O279" s="310"/>
      <c r="P279" s="310"/>
      <c r="Q279" s="310"/>
      <c r="R279" s="310"/>
      <c r="S279" s="310"/>
    </row>
    <row r="280" spans="1:19" ht="15" customHeight="1">
      <c r="A280" s="405"/>
      <c r="B280" s="405"/>
      <c r="C280" s="405"/>
      <c r="D280" s="405"/>
      <c r="E280" s="174"/>
      <c r="F280" s="174"/>
      <c r="G280" s="174"/>
      <c r="H280" s="174"/>
      <c r="I280" s="174"/>
      <c r="J280" s="174"/>
      <c r="K280" s="174"/>
      <c r="L280" s="174"/>
      <c r="M280" s="174"/>
      <c r="N280" s="174"/>
      <c r="O280" s="174"/>
      <c r="P280" s="174"/>
      <c r="Q280" s="174"/>
      <c r="R280" s="174"/>
      <c r="S280" s="174"/>
    </row>
    <row r="283" spans="1:19">
      <c r="A283" s="239"/>
      <c r="B283" s="253"/>
      <c r="C283" s="253"/>
      <c r="D283" s="253"/>
      <c r="E283" s="253"/>
      <c r="F283" s="253"/>
      <c r="G283" s="253"/>
      <c r="H283" s="253"/>
      <c r="I283" s="253"/>
      <c r="J283" s="253"/>
      <c r="K283" s="253"/>
      <c r="L283" s="419" t="s">
        <v>187</v>
      </c>
      <c r="M283" s="419"/>
      <c r="N283" s="419"/>
      <c r="O283" s="419"/>
      <c r="P283" s="419"/>
      <c r="Q283" s="419"/>
      <c r="R283" s="419"/>
      <c r="S283" s="419"/>
    </row>
    <row r="284" spans="1:19">
      <c r="A284" s="416" t="s">
        <v>325</v>
      </c>
      <c r="B284" s="416"/>
      <c r="C284" s="416"/>
      <c r="D284" s="416"/>
      <c r="E284" s="416"/>
      <c r="F284" s="416"/>
      <c r="G284" s="416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>
      <c r="A285" s="405" t="s">
        <v>189</v>
      </c>
      <c r="B285" s="405"/>
      <c r="C285" s="253"/>
      <c r="D285" s="253"/>
      <c r="E285" s="253"/>
      <c r="F285" s="445" t="s">
        <v>358</v>
      </c>
      <c r="G285" s="445"/>
      <c r="H285" s="445"/>
      <c r="I285" s="253"/>
      <c r="J285" s="253"/>
      <c r="K285" s="405" t="s">
        <v>191</v>
      </c>
      <c r="L285" s="405"/>
      <c r="M285" s="419" t="s">
        <v>192</v>
      </c>
      <c r="N285" s="419"/>
      <c r="O285" s="419"/>
      <c r="P285" s="419"/>
      <c r="Q285" s="253"/>
      <c r="R285" s="253"/>
      <c r="S285" s="253"/>
    </row>
    <row r="286" spans="1:19">
      <c r="A286" s="253"/>
      <c r="B286" s="253"/>
      <c r="C286" s="253"/>
      <c r="D286" s="416" t="s">
        <v>194</v>
      </c>
      <c r="E286" s="416"/>
      <c r="F286" s="253">
        <v>2</v>
      </c>
      <c r="G286" s="253"/>
      <c r="H286" s="253"/>
      <c r="I286" s="253"/>
      <c r="J286" s="253"/>
      <c r="K286" s="405" t="s">
        <v>195</v>
      </c>
      <c r="L286" s="405"/>
      <c r="M286" s="419" t="s">
        <v>347</v>
      </c>
      <c r="N286" s="419"/>
      <c r="O286" s="419"/>
      <c r="P286" s="419"/>
      <c r="Q286" s="419"/>
      <c r="R286" s="419"/>
      <c r="S286" s="419"/>
    </row>
    <row r="287" spans="1:19">
      <c r="A287" s="256" t="s">
        <v>0</v>
      </c>
      <c r="B287" s="444" t="s">
        <v>198</v>
      </c>
      <c r="C287" s="444"/>
      <c r="D287" s="444" t="s">
        <v>199</v>
      </c>
      <c r="E287" s="444" t="s">
        <v>200</v>
      </c>
      <c r="F287" s="444"/>
      <c r="G287" s="444"/>
      <c r="H287" s="256" t="s">
        <v>201</v>
      </c>
      <c r="I287" s="444" t="s">
        <v>202</v>
      </c>
      <c r="J287" s="444"/>
      <c r="K287" s="444"/>
      <c r="L287" s="444"/>
      <c r="M287" s="444"/>
      <c r="N287" s="444" t="s">
        <v>203</v>
      </c>
      <c r="O287" s="444"/>
      <c r="P287" s="444"/>
      <c r="Q287" s="444"/>
      <c r="R287" s="444"/>
      <c r="S287" s="444"/>
    </row>
    <row r="288" spans="1:19" ht="38.25">
      <c r="A288" s="256" t="s">
        <v>245</v>
      </c>
      <c r="B288" s="444"/>
      <c r="C288" s="444"/>
      <c r="D288" s="444"/>
      <c r="E288" s="256" t="s">
        <v>204</v>
      </c>
      <c r="F288" s="256" t="s">
        <v>205</v>
      </c>
      <c r="G288" s="256" t="s">
        <v>206</v>
      </c>
      <c r="H288" s="256" t="s">
        <v>207</v>
      </c>
      <c r="I288" s="256" t="s">
        <v>208</v>
      </c>
      <c r="J288" s="256" t="s">
        <v>209</v>
      </c>
      <c r="K288" s="256" t="s">
        <v>210</v>
      </c>
      <c r="L288" s="256" t="s">
        <v>211</v>
      </c>
      <c r="M288" s="256" t="s">
        <v>212</v>
      </c>
      <c r="N288" s="256" t="s">
        <v>213</v>
      </c>
      <c r="O288" s="256" t="s">
        <v>214</v>
      </c>
      <c r="P288" s="256" t="s">
        <v>215</v>
      </c>
      <c r="Q288" s="256" t="s">
        <v>216</v>
      </c>
      <c r="R288" s="256" t="s">
        <v>217</v>
      </c>
      <c r="S288" s="256" t="s">
        <v>218</v>
      </c>
    </row>
    <row r="289" spans="1:19">
      <c r="A289" s="254">
        <v>1</v>
      </c>
      <c r="B289" s="418">
        <v>2</v>
      </c>
      <c r="C289" s="418"/>
      <c r="D289" s="254">
        <v>3</v>
      </c>
      <c r="E289" s="254">
        <v>4</v>
      </c>
      <c r="F289" s="254">
        <v>5</v>
      </c>
      <c r="G289" s="254">
        <v>6</v>
      </c>
      <c r="H289" s="254">
        <v>7</v>
      </c>
      <c r="I289" s="254">
        <v>8</v>
      </c>
      <c r="J289" s="254">
        <v>9</v>
      </c>
      <c r="K289" s="254">
        <v>10</v>
      </c>
      <c r="L289" s="254">
        <v>11</v>
      </c>
      <c r="M289" s="254">
        <v>12</v>
      </c>
      <c r="N289" s="254">
        <v>13</v>
      </c>
      <c r="O289" s="254">
        <v>14</v>
      </c>
      <c r="P289" s="254">
        <v>15</v>
      </c>
      <c r="Q289" s="254">
        <v>16</v>
      </c>
      <c r="R289" s="254">
        <v>17</v>
      </c>
      <c r="S289" s="254">
        <v>18</v>
      </c>
    </row>
    <row r="290" spans="1:19">
      <c r="A290" s="416" t="s">
        <v>219</v>
      </c>
      <c r="B290" s="416"/>
      <c r="C290" s="416"/>
      <c r="D290" s="416"/>
      <c r="E290" s="416"/>
      <c r="F290" s="416"/>
      <c r="G290" s="416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ht="31.5" customHeight="1">
      <c r="A291" s="306" t="s">
        <v>340</v>
      </c>
      <c r="B291" s="439" t="s">
        <v>339</v>
      </c>
      <c r="C291" s="439"/>
      <c r="D291" s="310">
        <v>40</v>
      </c>
      <c r="E291" s="311">
        <v>1.1200000000000001</v>
      </c>
      <c r="F291" s="311">
        <v>0</v>
      </c>
      <c r="G291" s="311">
        <v>0.52</v>
      </c>
      <c r="H291" s="306">
        <v>6.44</v>
      </c>
      <c r="I291" s="311">
        <v>0</v>
      </c>
      <c r="J291" s="311">
        <v>0</v>
      </c>
      <c r="K291" s="311">
        <v>0</v>
      </c>
      <c r="L291" s="311">
        <v>0</v>
      </c>
      <c r="M291" s="311">
        <v>0</v>
      </c>
      <c r="N291" s="311">
        <v>0</v>
      </c>
      <c r="O291" s="311">
        <v>0</v>
      </c>
      <c r="P291" s="311">
        <v>0</v>
      </c>
      <c r="Q291" s="311">
        <v>0</v>
      </c>
      <c r="R291" s="311">
        <v>0</v>
      </c>
      <c r="S291" s="311">
        <v>0</v>
      </c>
    </row>
    <row r="292" spans="1:19" ht="36" customHeight="1">
      <c r="A292" s="303">
        <v>71</v>
      </c>
      <c r="B292" s="406" t="s">
        <v>338</v>
      </c>
      <c r="C292" s="406"/>
      <c r="D292" s="303">
        <v>40</v>
      </c>
      <c r="E292" s="303">
        <v>0.33</v>
      </c>
      <c r="F292" s="303">
        <v>0.04</v>
      </c>
      <c r="G292" s="303">
        <v>1.1299999999999999</v>
      </c>
      <c r="H292" s="303">
        <v>6.23</v>
      </c>
      <c r="I292" s="303">
        <v>8.9999999999999993E-3</v>
      </c>
      <c r="J292" s="303">
        <v>0.01</v>
      </c>
      <c r="K292" s="303">
        <v>3</v>
      </c>
      <c r="L292" s="303">
        <v>3.0000000000000001E-3</v>
      </c>
      <c r="M292" s="303">
        <v>0.03</v>
      </c>
      <c r="N292" s="303">
        <v>6.9</v>
      </c>
      <c r="O292" s="303">
        <v>12.6</v>
      </c>
      <c r="P292" s="303">
        <v>6.4000000000000001E-2</v>
      </c>
      <c r="Q292" s="303">
        <v>1E-3</v>
      </c>
      <c r="R292" s="303">
        <v>4.2</v>
      </c>
      <c r="S292" s="303">
        <v>0.18</v>
      </c>
    </row>
    <row r="293" spans="1:19" ht="15" customHeight="1">
      <c r="A293" s="310">
        <v>15</v>
      </c>
      <c r="B293" s="406" t="s">
        <v>221</v>
      </c>
      <c r="C293" s="406"/>
      <c r="D293" s="310">
        <v>20</v>
      </c>
      <c r="E293" s="310">
        <v>4.6399999999999997</v>
      </c>
      <c r="F293" s="310">
        <v>6.8</v>
      </c>
      <c r="G293" s="310">
        <v>0.02</v>
      </c>
      <c r="H293" s="310">
        <v>79.8</v>
      </c>
      <c r="I293" s="310">
        <v>0.01</v>
      </c>
      <c r="J293" s="310">
        <v>0.06</v>
      </c>
      <c r="K293" s="310">
        <v>0.14000000000000001</v>
      </c>
      <c r="L293" s="310">
        <v>4.5999999999999999E-2</v>
      </c>
      <c r="M293" s="310">
        <v>0.1</v>
      </c>
      <c r="N293" s="310">
        <v>176</v>
      </c>
      <c r="O293" s="310">
        <v>100</v>
      </c>
      <c r="P293" s="310">
        <v>0.8</v>
      </c>
      <c r="Q293" s="310">
        <v>0.04</v>
      </c>
      <c r="R293" s="310">
        <v>7</v>
      </c>
      <c r="S293" s="310">
        <v>0.26</v>
      </c>
    </row>
    <row r="294" spans="1:19" ht="15" customHeight="1">
      <c r="A294" s="311">
        <v>210</v>
      </c>
      <c r="B294" s="439" t="s">
        <v>287</v>
      </c>
      <c r="C294" s="439"/>
      <c r="D294" s="311">
        <v>250</v>
      </c>
      <c r="E294" s="311">
        <v>23.23</v>
      </c>
      <c r="F294" s="311">
        <v>41.38</v>
      </c>
      <c r="G294" s="311">
        <v>4.4000000000000004</v>
      </c>
      <c r="H294" s="311">
        <v>482.75</v>
      </c>
      <c r="I294" s="311">
        <v>0.18</v>
      </c>
      <c r="J294" s="311">
        <v>0.85</v>
      </c>
      <c r="K294" s="311">
        <v>0.43</v>
      </c>
      <c r="L294" s="311">
        <v>0.18</v>
      </c>
      <c r="M294" s="311"/>
      <c r="N294" s="311">
        <v>171.8</v>
      </c>
      <c r="O294" s="311">
        <v>376.3</v>
      </c>
      <c r="P294" s="311"/>
      <c r="Q294" s="311">
        <v>0</v>
      </c>
      <c r="R294" s="311">
        <v>26.9</v>
      </c>
      <c r="S294" s="311">
        <v>4.4000000000000004</v>
      </c>
    </row>
    <row r="295" spans="1:19" ht="15" customHeight="1">
      <c r="A295" s="310">
        <v>376</v>
      </c>
      <c r="B295" s="406" t="s">
        <v>141</v>
      </c>
      <c r="C295" s="406"/>
      <c r="D295" s="310">
        <v>200</v>
      </c>
      <c r="E295" s="310">
        <v>0.2</v>
      </c>
      <c r="F295" s="310">
        <v>0.05</v>
      </c>
      <c r="G295" s="310">
        <v>15.01</v>
      </c>
      <c r="H295" s="310">
        <v>61</v>
      </c>
      <c r="I295" s="310">
        <v>0</v>
      </c>
      <c r="J295" s="310">
        <v>0.01</v>
      </c>
      <c r="K295" s="310">
        <v>9</v>
      </c>
      <c r="L295" s="310">
        <v>1E-4</v>
      </c>
      <c r="M295" s="310">
        <v>4.4999999999999998E-2</v>
      </c>
      <c r="N295" s="310">
        <v>5.25</v>
      </c>
      <c r="O295" s="310">
        <v>8.24</v>
      </c>
      <c r="P295" s="310">
        <v>8.0000000000000002E-3</v>
      </c>
      <c r="Q295" s="310">
        <v>0</v>
      </c>
      <c r="R295" s="310">
        <v>4.4000000000000004</v>
      </c>
      <c r="S295" s="310">
        <v>0.87</v>
      </c>
    </row>
    <row r="296" spans="1:19" ht="15" customHeight="1">
      <c r="A296" s="310" t="s">
        <v>224</v>
      </c>
      <c r="B296" s="406" t="s">
        <v>302</v>
      </c>
      <c r="C296" s="406"/>
      <c r="D296" s="310">
        <v>40</v>
      </c>
      <c r="E296" s="310">
        <v>2.67</v>
      </c>
      <c r="F296" s="310">
        <v>0.53</v>
      </c>
      <c r="G296" s="310">
        <v>13.73</v>
      </c>
      <c r="H296" s="310">
        <v>70.400000000000006</v>
      </c>
      <c r="I296" s="310">
        <v>0.13</v>
      </c>
      <c r="J296" s="310">
        <v>1.2999999999999999E-2</v>
      </c>
      <c r="K296" s="310">
        <v>0.1</v>
      </c>
      <c r="L296" s="310">
        <v>0</v>
      </c>
      <c r="M296" s="310">
        <v>0.93</v>
      </c>
      <c r="N296" s="310">
        <v>14</v>
      </c>
      <c r="O296" s="310">
        <v>63.2</v>
      </c>
      <c r="P296" s="310">
        <v>1.2999999999999999E-2</v>
      </c>
      <c r="Q296" s="310">
        <v>1.2999999999999999E-2</v>
      </c>
      <c r="R296" s="310">
        <v>18.8</v>
      </c>
      <c r="S296" s="310">
        <v>1.6</v>
      </c>
    </row>
    <row r="297" spans="1:19" ht="15" customHeight="1">
      <c r="A297" s="405" t="s">
        <v>225</v>
      </c>
      <c r="B297" s="405"/>
      <c r="C297" s="405"/>
      <c r="D297" s="301">
        <f>SUM(D292:D296)</f>
        <v>550</v>
      </c>
      <c r="E297" s="301">
        <f t="shared" ref="E297:S297" si="58">SUM(E292:E296)</f>
        <v>31.07</v>
      </c>
      <c r="F297" s="301">
        <f t="shared" si="58"/>
        <v>48.8</v>
      </c>
      <c r="G297" s="301">
        <f t="shared" si="58"/>
        <v>34.290000000000006</v>
      </c>
      <c r="H297" s="301">
        <f t="shared" si="58"/>
        <v>700.18</v>
      </c>
      <c r="I297" s="301">
        <f t="shared" si="58"/>
        <v>0.32899999999999996</v>
      </c>
      <c r="J297" s="301">
        <f t="shared" si="58"/>
        <v>0.94299999999999995</v>
      </c>
      <c r="K297" s="301">
        <f t="shared" si="58"/>
        <v>12.67</v>
      </c>
      <c r="L297" s="301">
        <f t="shared" si="58"/>
        <v>0.22909999999999997</v>
      </c>
      <c r="M297" s="301">
        <f t="shared" si="58"/>
        <v>1.105</v>
      </c>
      <c r="N297" s="301">
        <f t="shared" si="58"/>
        <v>373.95000000000005</v>
      </c>
      <c r="O297" s="301">
        <f t="shared" si="58"/>
        <v>560.34</v>
      </c>
      <c r="P297" s="301">
        <f t="shared" si="58"/>
        <v>0.88500000000000012</v>
      </c>
      <c r="Q297" s="301">
        <f t="shared" si="58"/>
        <v>5.3999999999999999E-2</v>
      </c>
      <c r="R297" s="301">
        <f t="shared" si="58"/>
        <v>61.3</v>
      </c>
      <c r="S297" s="301">
        <f t="shared" si="58"/>
        <v>7.3100000000000005</v>
      </c>
    </row>
    <row r="298" spans="1:19" ht="15" customHeight="1">
      <c r="A298" s="405" t="s">
        <v>226</v>
      </c>
      <c r="B298" s="405"/>
      <c r="C298" s="405"/>
      <c r="D298" s="405"/>
      <c r="E298" s="174">
        <f t="shared" ref="E298:S298" si="59">E297/E315</f>
        <v>0.34522222222222221</v>
      </c>
      <c r="F298" s="174">
        <f t="shared" si="59"/>
        <v>0.53043478260869559</v>
      </c>
      <c r="G298" s="174">
        <f t="shared" si="59"/>
        <v>8.9530026109660585E-2</v>
      </c>
      <c r="H298" s="174">
        <f t="shared" si="59"/>
        <v>0.25741911764705883</v>
      </c>
      <c r="I298" s="174">
        <f t="shared" si="59"/>
        <v>0.23499999999999999</v>
      </c>
      <c r="J298" s="174">
        <f t="shared" si="59"/>
        <v>0.58937499999999998</v>
      </c>
      <c r="K298" s="174">
        <f t="shared" si="59"/>
        <v>0.18099999999999999</v>
      </c>
      <c r="L298" s="174">
        <f t="shared" si="59"/>
        <v>0.25455555555555553</v>
      </c>
      <c r="M298" s="174">
        <f t="shared" si="59"/>
        <v>9.2083333333333336E-2</v>
      </c>
      <c r="N298" s="174">
        <f t="shared" si="59"/>
        <v>0.31162500000000004</v>
      </c>
      <c r="O298" s="174">
        <f t="shared" si="59"/>
        <v>0.46695000000000003</v>
      </c>
      <c r="P298" s="174">
        <f t="shared" si="59"/>
        <v>6.3214285714285723E-2</v>
      </c>
      <c r="Q298" s="174">
        <f t="shared" si="59"/>
        <v>0.53999999999999992</v>
      </c>
      <c r="R298" s="174">
        <f t="shared" si="59"/>
        <v>0.20433333333333331</v>
      </c>
      <c r="S298" s="174">
        <f t="shared" si="59"/>
        <v>0.40611111111111114</v>
      </c>
    </row>
    <row r="299" spans="1:19" ht="15" customHeight="1">
      <c r="A299" s="416" t="s">
        <v>227</v>
      </c>
      <c r="B299" s="416"/>
      <c r="C299" s="416"/>
      <c r="D299" s="416"/>
      <c r="E299" s="416"/>
      <c r="F299" s="416"/>
      <c r="G299" s="416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ht="15" customHeight="1">
      <c r="A300" s="305">
        <v>115</v>
      </c>
      <c r="B300" s="417" t="s">
        <v>279</v>
      </c>
      <c r="C300" s="417"/>
      <c r="D300" s="310">
        <v>100</v>
      </c>
      <c r="E300" s="310">
        <v>1.9</v>
      </c>
      <c r="F300" s="310">
        <v>8.9</v>
      </c>
      <c r="G300" s="310">
        <v>7.7</v>
      </c>
      <c r="H300" s="310">
        <v>119</v>
      </c>
      <c r="I300" s="310">
        <v>0.02</v>
      </c>
      <c r="J300" s="310">
        <v>0</v>
      </c>
      <c r="K300" s="310">
        <v>7</v>
      </c>
      <c r="L300" s="310">
        <v>0.02</v>
      </c>
      <c r="M300" s="310"/>
      <c r="N300" s="310">
        <v>41</v>
      </c>
      <c r="O300" s="310">
        <v>37</v>
      </c>
      <c r="P300" s="310"/>
      <c r="Q300" s="310">
        <v>0</v>
      </c>
      <c r="R300" s="310">
        <v>15</v>
      </c>
      <c r="S300" s="310">
        <v>0.7</v>
      </c>
    </row>
    <row r="301" spans="1:19" ht="32.25" customHeight="1">
      <c r="A301" s="310">
        <v>103</v>
      </c>
      <c r="B301" s="406" t="s">
        <v>326</v>
      </c>
      <c r="C301" s="406"/>
      <c r="D301" s="310">
        <v>250</v>
      </c>
      <c r="E301" s="310">
        <v>12.4</v>
      </c>
      <c r="F301" s="310">
        <v>11.1</v>
      </c>
      <c r="G301" s="310">
        <v>31.5</v>
      </c>
      <c r="H301" s="310">
        <v>275.60000000000002</v>
      </c>
      <c r="I301" s="310">
        <v>0.3</v>
      </c>
      <c r="J301" s="310">
        <v>0.1</v>
      </c>
      <c r="K301" s="310">
        <v>8.3000000000000007</v>
      </c>
      <c r="L301" s="310">
        <v>0.03</v>
      </c>
      <c r="M301" s="310">
        <v>0</v>
      </c>
      <c r="N301" s="310">
        <v>49.3</v>
      </c>
      <c r="O301" s="310">
        <v>93.3</v>
      </c>
      <c r="P301" s="310">
        <v>0</v>
      </c>
      <c r="Q301" s="310">
        <v>0</v>
      </c>
      <c r="R301" s="310">
        <v>27.3</v>
      </c>
      <c r="S301" s="310">
        <v>0.3</v>
      </c>
    </row>
    <row r="302" spans="1:19" ht="18.75" customHeight="1">
      <c r="A302" s="310">
        <v>295</v>
      </c>
      <c r="B302" s="417" t="s">
        <v>291</v>
      </c>
      <c r="C302" s="417"/>
      <c r="D302" s="310">
        <v>100</v>
      </c>
      <c r="E302" s="310">
        <v>15.24</v>
      </c>
      <c r="F302" s="310">
        <v>5.8</v>
      </c>
      <c r="G302" s="310">
        <v>10.16</v>
      </c>
      <c r="H302" s="310">
        <v>153.80000000000001</v>
      </c>
      <c r="I302" s="310">
        <v>0.09</v>
      </c>
      <c r="J302" s="310">
        <v>0.08</v>
      </c>
      <c r="K302" s="310">
        <v>0.24</v>
      </c>
      <c r="L302" s="310">
        <v>1E-3</v>
      </c>
      <c r="M302" s="310">
        <v>7.3999999999999996E-2</v>
      </c>
      <c r="N302" s="310">
        <v>14.03</v>
      </c>
      <c r="O302" s="310">
        <v>93.98</v>
      </c>
      <c r="P302" s="310">
        <v>1.17</v>
      </c>
      <c r="Q302" s="310">
        <v>0.04</v>
      </c>
      <c r="R302" s="310">
        <v>16.239999999999998</v>
      </c>
      <c r="S302" s="310">
        <v>1.89</v>
      </c>
    </row>
    <row r="303" spans="1:19" ht="15" customHeight="1">
      <c r="A303" s="310">
        <v>173</v>
      </c>
      <c r="B303" s="406" t="s">
        <v>327</v>
      </c>
      <c r="C303" s="406"/>
      <c r="D303" s="310">
        <v>180</v>
      </c>
      <c r="E303" s="310">
        <v>7.88</v>
      </c>
      <c r="F303" s="310">
        <v>5.03</v>
      </c>
      <c r="G303" s="310">
        <v>38.78</v>
      </c>
      <c r="H303" s="310">
        <v>231.92</v>
      </c>
      <c r="I303" s="310">
        <v>7.0000000000000007E-2</v>
      </c>
      <c r="J303" s="310">
        <v>0.04</v>
      </c>
      <c r="K303" s="310">
        <v>0</v>
      </c>
      <c r="L303" s="310">
        <v>0.04</v>
      </c>
      <c r="M303" s="310">
        <v>3.06</v>
      </c>
      <c r="N303" s="310">
        <v>21.74</v>
      </c>
      <c r="O303" s="310">
        <v>188.44</v>
      </c>
      <c r="P303" s="310">
        <v>1.07</v>
      </c>
      <c r="Q303" s="310">
        <v>1.6999999999999999E-3</v>
      </c>
      <c r="R303" s="310">
        <v>125.34</v>
      </c>
      <c r="S303" s="310">
        <v>4.26</v>
      </c>
    </row>
    <row r="304" spans="1:19" ht="15" customHeight="1">
      <c r="A304" s="310">
        <v>389</v>
      </c>
      <c r="B304" s="406" t="s">
        <v>283</v>
      </c>
      <c r="C304" s="406"/>
      <c r="D304" s="310">
        <v>200</v>
      </c>
      <c r="E304" s="310">
        <v>1</v>
      </c>
      <c r="F304" s="310">
        <v>0.2</v>
      </c>
      <c r="G304" s="310">
        <v>20.2</v>
      </c>
      <c r="H304" s="310">
        <v>87</v>
      </c>
      <c r="I304" s="310">
        <v>0</v>
      </c>
      <c r="J304" s="310">
        <v>0.08</v>
      </c>
      <c r="K304" s="310">
        <v>4</v>
      </c>
      <c r="L304" s="310">
        <v>0</v>
      </c>
      <c r="M304" s="310">
        <v>0</v>
      </c>
      <c r="N304" s="310">
        <v>31.1</v>
      </c>
      <c r="O304" s="310">
        <v>18</v>
      </c>
      <c r="P304" s="310">
        <v>0</v>
      </c>
      <c r="Q304" s="310">
        <v>0</v>
      </c>
      <c r="R304" s="310">
        <v>8</v>
      </c>
      <c r="S304" s="310">
        <v>0.72</v>
      </c>
    </row>
    <row r="305" spans="1:19" ht="15" customHeight="1">
      <c r="A305" s="310" t="s">
        <v>224</v>
      </c>
      <c r="B305" s="406" t="s">
        <v>235</v>
      </c>
      <c r="C305" s="406"/>
      <c r="D305" s="310">
        <v>40</v>
      </c>
      <c r="E305" s="310">
        <v>2.64</v>
      </c>
      <c r="F305" s="310">
        <v>0.48</v>
      </c>
      <c r="G305" s="310">
        <v>13.68</v>
      </c>
      <c r="H305" s="310">
        <v>69.599999999999994</v>
      </c>
      <c r="I305" s="310">
        <v>0.08</v>
      </c>
      <c r="J305" s="310">
        <v>0.04</v>
      </c>
      <c r="K305" s="310">
        <v>0</v>
      </c>
      <c r="L305" s="310">
        <v>0</v>
      </c>
      <c r="M305" s="310">
        <v>2.4</v>
      </c>
      <c r="N305" s="310">
        <v>14</v>
      </c>
      <c r="O305" s="310">
        <v>63.2</v>
      </c>
      <c r="P305" s="310">
        <v>1.2</v>
      </c>
      <c r="Q305" s="310">
        <v>1E-3</v>
      </c>
      <c r="R305" s="310">
        <v>9.4</v>
      </c>
      <c r="S305" s="310">
        <v>0.78</v>
      </c>
    </row>
    <row r="306" spans="1:19" ht="15" customHeight="1">
      <c r="A306" s="310" t="s">
        <v>224</v>
      </c>
      <c r="B306" s="406" t="s">
        <v>117</v>
      </c>
      <c r="C306" s="406"/>
      <c r="D306" s="310">
        <v>30</v>
      </c>
      <c r="E306" s="310">
        <v>1.52</v>
      </c>
      <c r="F306" s="310">
        <v>0.16</v>
      </c>
      <c r="G306" s="310">
        <v>9.84</v>
      </c>
      <c r="H306" s="310">
        <v>46.9</v>
      </c>
      <c r="I306" s="310">
        <v>0.02</v>
      </c>
      <c r="J306" s="310">
        <v>0.01</v>
      </c>
      <c r="K306" s="310">
        <v>0.44</v>
      </c>
      <c r="L306" s="310">
        <v>0</v>
      </c>
      <c r="M306" s="310">
        <v>0.7</v>
      </c>
      <c r="N306" s="310">
        <v>4</v>
      </c>
      <c r="O306" s="310">
        <v>13</v>
      </c>
      <c r="P306" s="310">
        <v>8.0000000000000002E-3</v>
      </c>
      <c r="Q306" s="310">
        <v>1E-3</v>
      </c>
      <c r="R306" s="310">
        <v>0</v>
      </c>
      <c r="S306" s="310">
        <v>0.22</v>
      </c>
    </row>
    <row r="307" spans="1:19" ht="15" customHeight="1">
      <c r="A307" s="451" t="s">
        <v>236</v>
      </c>
      <c r="B307" s="452"/>
      <c r="C307" s="453"/>
      <c r="D307" s="301">
        <f>SUM(D300:D306)</f>
        <v>900</v>
      </c>
      <c r="E307" s="301">
        <f t="shared" ref="E307:S307" si="60">SUM(E300:E306)</f>
        <v>42.580000000000005</v>
      </c>
      <c r="F307" s="301">
        <f t="shared" si="60"/>
        <v>31.67</v>
      </c>
      <c r="G307" s="301">
        <f t="shared" si="60"/>
        <v>131.86000000000001</v>
      </c>
      <c r="H307" s="301">
        <f t="shared" si="60"/>
        <v>983.82</v>
      </c>
      <c r="I307" s="301">
        <f t="shared" si="60"/>
        <v>0.58000000000000007</v>
      </c>
      <c r="J307" s="301">
        <f t="shared" si="60"/>
        <v>0.35</v>
      </c>
      <c r="K307" s="301">
        <f t="shared" si="60"/>
        <v>19.98</v>
      </c>
      <c r="L307" s="301">
        <f t="shared" si="60"/>
        <v>9.0999999999999998E-2</v>
      </c>
      <c r="M307" s="301">
        <f t="shared" si="60"/>
        <v>6.234</v>
      </c>
      <c r="N307" s="301">
        <f t="shared" si="60"/>
        <v>175.17</v>
      </c>
      <c r="O307" s="301">
        <f t="shared" si="60"/>
        <v>506.92</v>
      </c>
      <c r="P307" s="301">
        <f t="shared" si="60"/>
        <v>3.4480000000000004</v>
      </c>
      <c r="Q307" s="301">
        <f t="shared" si="60"/>
        <v>4.3700000000000003E-2</v>
      </c>
      <c r="R307" s="301">
        <f t="shared" si="60"/>
        <v>201.28</v>
      </c>
      <c r="S307" s="301">
        <f t="shared" si="60"/>
        <v>8.8699999999999992</v>
      </c>
    </row>
    <row r="308" spans="1:19" ht="15" customHeight="1">
      <c r="A308" s="405" t="s">
        <v>226</v>
      </c>
      <c r="B308" s="405"/>
      <c r="C308" s="405"/>
      <c r="D308" s="405"/>
      <c r="E308" s="174">
        <f>E307/E315</f>
        <v>0.47311111111111115</v>
      </c>
      <c r="F308" s="174">
        <f t="shared" ref="F308:S308" si="61">F307/F315</f>
        <v>0.3442391304347826</v>
      </c>
      <c r="G308" s="174">
        <f t="shared" si="61"/>
        <v>0.34428198433420371</v>
      </c>
      <c r="H308" s="174">
        <f t="shared" si="61"/>
        <v>0.36169852941176472</v>
      </c>
      <c r="I308" s="174">
        <f t="shared" si="61"/>
        <v>0.41428571428571437</v>
      </c>
      <c r="J308" s="174">
        <f t="shared" si="61"/>
        <v>0.21874999999999997</v>
      </c>
      <c r="K308" s="174">
        <f t="shared" si="61"/>
        <v>0.28542857142857142</v>
      </c>
      <c r="L308" s="174">
        <f t="shared" si="61"/>
        <v>0.10111111111111111</v>
      </c>
      <c r="M308" s="174">
        <f t="shared" si="61"/>
        <v>0.51949999999999996</v>
      </c>
      <c r="N308" s="174">
        <f t="shared" si="61"/>
        <v>0.14597499999999999</v>
      </c>
      <c r="O308" s="174">
        <f t="shared" si="61"/>
        <v>0.42243333333333333</v>
      </c>
      <c r="P308" s="174">
        <f t="shared" si="61"/>
        <v>0.2462857142857143</v>
      </c>
      <c r="Q308" s="174">
        <f t="shared" si="61"/>
        <v>0.437</v>
      </c>
      <c r="R308" s="174">
        <f t="shared" si="61"/>
        <v>0.67093333333333338</v>
      </c>
      <c r="S308" s="174">
        <f t="shared" si="61"/>
        <v>0.49277777777777776</v>
      </c>
    </row>
    <row r="309" spans="1:19">
      <c r="A309" s="416" t="s">
        <v>237</v>
      </c>
      <c r="B309" s="416"/>
      <c r="C309" s="416"/>
      <c r="D309" s="416"/>
      <c r="E309" s="416"/>
      <c r="F309" s="416"/>
      <c r="G309" s="416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ht="15" customHeight="1">
      <c r="A310" s="310" t="s">
        <v>224</v>
      </c>
      <c r="B310" s="406" t="s">
        <v>257</v>
      </c>
      <c r="C310" s="406"/>
      <c r="D310" s="310">
        <v>80</v>
      </c>
      <c r="E310" s="310">
        <v>5.95</v>
      </c>
      <c r="F310" s="310">
        <v>6.05</v>
      </c>
      <c r="G310" s="310">
        <v>38.22</v>
      </c>
      <c r="H310" s="310">
        <v>231.11</v>
      </c>
      <c r="I310" s="310">
        <v>0.06</v>
      </c>
      <c r="J310" s="310">
        <v>0.06</v>
      </c>
      <c r="K310" s="310">
        <v>0.02</v>
      </c>
      <c r="L310" s="310">
        <v>0.06</v>
      </c>
      <c r="M310" s="310"/>
      <c r="N310" s="310">
        <v>19.489999999999998</v>
      </c>
      <c r="O310" s="310">
        <v>55.89</v>
      </c>
      <c r="P310" s="310"/>
      <c r="Q310" s="310">
        <v>0</v>
      </c>
      <c r="R310" s="310">
        <v>8.27</v>
      </c>
      <c r="S310" s="310">
        <v>0.7</v>
      </c>
    </row>
    <row r="311" spans="1:19" ht="15" customHeight="1">
      <c r="A311" s="310">
        <v>377</v>
      </c>
      <c r="B311" s="406" t="s">
        <v>149</v>
      </c>
      <c r="C311" s="406"/>
      <c r="D311" s="310" t="s">
        <v>151</v>
      </c>
      <c r="E311" s="310">
        <v>0.26</v>
      </c>
      <c r="F311" s="310">
        <v>0.06</v>
      </c>
      <c r="G311" s="310">
        <v>15.22</v>
      </c>
      <c r="H311" s="310">
        <v>62.5</v>
      </c>
      <c r="I311" s="310"/>
      <c r="J311" s="310">
        <v>0.01</v>
      </c>
      <c r="K311" s="310">
        <v>2.9</v>
      </c>
      <c r="L311" s="310">
        <v>0</v>
      </c>
      <c r="M311" s="310">
        <v>0.06</v>
      </c>
      <c r="N311" s="310">
        <v>8.0500000000000007</v>
      </c>
      <c r="O311" s="310">
        <v>9.7799999999999994</v>
      </c>
      <c r="P311" s="310">
        <v>1.7000000000000001E-2</v>
      </c>
      <c r="Q311" s="310">
        <v>0</v>
      </c>
      <c r="R311" s="310">
        <v>5.24</v>
      </c>
      <c r="S311" s="310">
        <v>0.87</v>
      </c>
    </row>
    <row r="312" spans="1:19">
      <c r="A312" s="413" t="s">
        <v>240</v>
      </c>
      <c r="B312" s="414"/>
      <c r="C312" s="415"/>
      <c r="D312" s="301">
        <f>D310+204</f>
        <v>284</v>
      </c>
      <c r="E312" s="301">
        <f>SUM(E310:E311)</f>
        <v>6.21</v>
      </c>
      <c r="F312" s="301">
        <f t="shared" ref="F312:S312" si="62">SUM(F310:F311)</f>
        <v>6.1099999999999994</v>
      </c>
      <c r="G312" s="301">
        <f t="shared" si="62"/>
        <v>53.44</v>
      </c>
      <c r="H312" s="301">
        <f t="shared" si="62"/>
        <v>293.61</v>
      </c>
      <c r="I312" s="301">
        <f t="shared" si="62"/>
        <v>0.06</v>
      </c>
      <c r="J312" s="301">
        <f t="shared" si="62"/>
        <v>6.9999999999999993E-2</v>
      </c>
      <c r="K312" s="301">
        <f t="shared" si="62"/>
        <v>2.92</v>
      </c>
      <c r="L312" s="301">
        <f t="shared" si="62"/>
        <v>0.06</v>
      </c>
      <c r="M312" s="301">
        <f t="shared" si="62"/>
        <v>0.06</v>
      </c>
      <c r="N312" s="301">
        <f t="shared" si="62"/>
        <v>27.54</v>
      </c>
      <c r="O312" s="301">
        <f t="shared" si="62"/>
        <v>65.67</v>
      </c>
      <c r="P312" s="301">
        <f t="shared" si="62"/>
        <v>1.7000000000000001E-2</v>
      </c>
      <c r="Q312" s="301">
        <f t="shared" si="62"/>
        <v>0</v>
      </c>
      <c r="R312" s="301">
        <f t="shared" si="62"/>
        <v>13.51</v>
      </c>
      <c r="S312" s="301">
        <f t="shared" si="62"/>
        <v>1.5699999999999998</v>
      </c>
    </row>
    <row r="313" spans="1:19" ht="15" customHeight="1">
      <c r="A313" s="405" t="s">
        <v>226</v>
      </c>
      <c r="B313" s="405"/>
      <c r="C313" s="405"/>
      <c r="D313" s="405"/>
      <c r="E313" s="174">
        <f>E312/E315</f>
        <v>6.9000000000000006E-2</v>
      </c>
      <c r="F313" s="174">
        <f t="shared" ref="F313:S313" si="63">F312/F315</f>
        <v>6.6413043478260866E-2</v>
      </c>
      <c r="G313" s="174">
        <f t="shared" si="63"/>
        <v>0.13953002610966056</v>
      </c>
      <c r="H313" s="174">
        <f t="shared" si="63"/>
        <v>0.10794485294117648</v>
      </c>
      <c r="I313" s="174">
        <f t="shared" si="63"/>
        <v>4.2857142857142858E-2</v>
      </c>
      <c r="J313" s="174">
        <f t="shared" si="63"/>
        <v>4.374999999999999E-2</v>
      </c>
      <c r="K313" s="174">
        <f t="shared" si="63"/>
        <v>4.1714285714285711E-2</v>
      </c>
      <c r="L313" s="174">
        <f t="shared" si="63"/>
        <v>6.6666666666666666E-2</v>
      </c>
      <c r="M313" s="174">
        <f t="shared" si="63"/>
        <v>5.0000000000000001E-3</v>
      </c>
      <c r="N313" s="174">
        <f t="shared" si="63"/>
        <v>2.2949999999999998E-2</v>
      </c>
      <c r="O313" s="174">
        <f t="shared" si="63"/>
        <v>5.4725000000000003E-2</v>
      </c>
      <c r="P313" s="174">
        <f t="shared" si="63"/>
        <v>1.2142857142857144E-3</v>
      </c>
      <c r="Q313" s="174">
        <f t="shared" si="63"/>
        <v>0</v>
      </c>
      <c r="R313" s="174">
        <f t="shared" si="63"/>
        <v>4.5033333333333335E-2</v>
      </c>
      <c r="S313" s="174">
        <f t="shared" si="63"/>
        <v>8.7222222222222215E-2</v>
      </c>
    </row>
    <row r="314" spans="1:19">
      <c r="A314" s="405" t="s">
        <v>241</v>
      </c>
      <c r="B314" s="405"/>
      <c r="C314" s="405"/>
      <c r="D314" s="405"/>
      <c r="E314" s="250">
        <f>E312+E307+E297</f>
        <v>79.860000000000014</v>
      </c>
      <c r="F314" s="250">
        <f t="shared" ref="F314:S314" si="64">F312+F307+F297</f>
        <v>86.58</v>
      </c>
      <c r="G314" s="250">
        <f t="shared" si="64"/>
        <v>219.59000000000003</v>
      </c>
      <c r="H314" s="250">
        <f t="shared" si="64"/>
        <v>1977.6100000000001</v>
      </c>
      <c r="I314" s="250">
        <f t="shared" si="64"/>
        <v>0.96900000000000008</v>
      </c>
      <c r="J314" s="250">
        <f t="shared" si="64"/>
        <v>1.363</v>
      </c>
      <c r="K314" s="250">
        <f t="shared" si="64"/>
        <v>35.57</v>
      </c>
      <c r="L314" s="250">
        <f t="shared" si="64"/>
        <v>0.38009999999999999</v>
      </c>
      <c r="M314" s="250">
        <f t="shared" si="64"/>
        <v>7.3989999999999991</v>
      </c>
      <c r="N314" s="250">
        <f t="shared" si="64"/>
        <v>576.66000000000008</v>
      </c>
      <c r="O314" s="250">
        <f t="shared" si="64"/>
        <v>1132.93</v>
      </c>
      <c r="P314" s="250">
        <f t="shared" si="64"/>
        <v>4.3500000000000005</v>
      </c>
      <c r="Q314" s="250">
        <f t="shared" si="64"/>
        <v>9.7700000000000009E-2</v>
      </c>
      <c r="R314" s="250">
        <f t="shared" si="64"/>
        <v>276.08999999999997</v>
      </c>
      <c r="S314" s="250">
        <f t="shared" si="64"/>
        <v>17.75</v>
      </c>
    </row>
    <row r="315" spans="1:19">
      <c r="A315" s="405" t="s">
        <v>242</v>
      </c>
      <c r="B315" s="405"/>
      <c r="C315" s="405"/>
      <c r="D315" s="405"/>
      <c r="E315" s="253">
        <v>90</v>
      </c>
      <c r="F315" s="253">
        <v>92</v>
      </c>
      <c r="G315" s="253">
        <v>383</v>
      </c>
      <c r="H315" s="253">
        <v>2720</v>
      </c>
      <c r="I315" s="253">
        <v>1.4</v>
      </c>
      <c r="J315" s="253">
        <v>1.6</v>
      </c>
      <c r="K315" s="253">
        <v>70</v>
      </c>
      <c r="L315" s="253">
        <v>0.9</v>
      </c>
      <c r="M315" s="253">
        <v>12</v>
      </c>
      <c r="N315" s="253">
        <v>1200</v>
      </c>
      <c r="O315" s="253">
        <v>1200</v>
      </c>
      <c r="P315" s="253">
        <v>14</v>
      </c>
      <c r="Q315" s="253">
        <v>0.1</v>
      </c>
      <c r="R315" s="253">
        <v>300</v>
      </c>
      <c r="S315" s="253">
        <v>18</v>
      </c>
    </row>
    <row r="316" spans="1:19">
      <c r="A316" s="405" t="s">
        <v>226</v>
      </c>
      <c r="B316" s="405"/>
      <c r="C316" s="405"/>
      <c r="D316" s="405"/>
      <c r="E316" s="174">
        <f>E314/E315</f>
        <v>0.88733333333333353</v>
      </c>
      <c r="F316" s="174">
        <f t="shared" ref="F316:S316" si="65">F314/F315</f>
        <v>0.94108695652173913</v>
      </c>
      <c r="G316" s="174">
        <f t="shared" si="65"/>
        <v>0.57334203655352489</v>
      </c>
      <c r="H316" s="174">
        <f t="shared" si="65"/>
        <v>0.72706250000000006</v>
      </c>
      <c r="I316" s="174">
        <f t="shared" si="65"/>
        <v>0.69214285714285728</v>
      </c>
      <c r="J316" s="174">
        <f t="shared" si="65"/>
        <v>0.85187499999999994</v>
      </c>
      <c r="K316" s="174">
        <f t="shared" si="65"/>
        <v>0.50814285714285712</v>
      </c>
      <c r="L316" s="174">
        <f t="shared" si="65"/>
        <v>0.42233333333333334</v>
      </c>
      <c r="M316" s="174">
        <f t="shared" si="65"/>
        <v>0.61658333333333326</v>
      </c>
      <c r="N316" s="174">
        <f t="shared" si="65"/>
        <v>0.48055000000000009</v>
      </c>
      <c r="O316" s="174">
        <f t="shared" si="65"/>
        <v>0.94410833333333344</v>
      </c>
      <c r="P316" s="174">
        <f t="shared" si="65"/>
        <v>0.31071428571428578</v>
      </c>
      <c r="Q316" s="174">
        <f t="shared" si="65"/>
        <v>0.97700000000000009</v>
      </c>
      <c r="R316" s="174">
        <f t="shared" si="65"/>
        <v>0.9202999999999999</v>
      </c>
      <c r="S316" s="174">
        <f t="shared" si="65"/>
        <v>0.98611111111111116</v>
      </c>
    </row>
    <row r="318" spans="1:19">
      <c r="A318" s="416" t="s">
        <v>312</v>
      </c>
      <c r="B318" s="416"/>
      <c r="C318" s="416"/>
      <c r="D318" s="416"/>
      <c r="E318" s="416"/>
      <c r="F318" s="416"/>
      <c r="G318" s="416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>
      <c r="A319" s="405" t="s">
        <v>261</v>
      </c>
      <c r="B319" s="405"/>
      <c r="C319" s="253"/>
      <c r="D319" s="253"/>
      <c r="E319" s="253"/>
      <c r="F319" s="445" t="s">
        <v>285</v>
      </c>
      <c r="G319" s="445"/>
      <c r="H319" s="445"/>
      <c r="I319" s="253"/>
      <c r="J319" s="253"/>
      <c r="K319" s="405" t="s">
        <v>191</v>
      </c>
      <c r="L319" s="405"/>
      <c r="M319" s="419" t="s">
        <v>192</v>
      </c>
      <c r="N319" s="419"/>
      <c r="O319" s="419"/>
      <c r="P319" s="419"/>
      <c r="Q319" s="253"/>
      <c r="R319" s="253"/>
      <c r="S319" s="253"/>
    </row>
    <row r="320" spans="1:19">
      <c r="A320" s="253"/>
      <c r="B320" s="253"/>
      <c r="C320" s="253"/>
      <c r="D320" s="416" t="s">
        <v>194</v>
      </c>
      <c r="E320" s="416"/>
      <c r="F320" s="253">
        <v>2</v>
      </c>
      <c r="G320" s="253"/>
      <c r="H320" s="253"/>
      <c r="I320" s="253"/>
      <c r="J320" s="253"/>
      <c r="K320" s="405" t="s">
        <v>195</v>
      </c>
      <c r="L320" s="405"/>
      <c r="M320" s="419" t="s">
        <v>347</v>
      </c>
      <c r="N320" s="419"/>
      <c r="O320" s="419"/>
      <c r="P320" s="419"/>
      <c r="Q320" s="419"/>
      <c r="R320" s="419"/>
      <c r="S320" s="419"/>
    </row>
    <row r="321" spans="1:19">
      <c r="A321" s="256" t="s">
        <v>0</v>
      </c>
      <c r="B321" s="444" t="s">
        <v>198</v>
      </c>
      <c r="C321" s="444"/>
      <c r="D321" s="444" t="s">
        <v>199</v>
      </c>
      <c r="E321" s="444" t="s">
        <v>200</v>
      </c>
      <c r="F321" s="444"/>
      <c r="G321" s="444"/>
      <c r="H321" s="256" t="s">
        <v>201</v>
      </c>
      <c r="I321" s="444" t="s">
        <v>202</v>
      </c>
      <c r="J321" s="444"/>
      <c r="K321" s="444"/>
      <c r="L321" s="444"/>
      <c r="M321" s="444"/>
      <c r="N321" s="444" t="s">
        <v>203</v>
      </c>
      <c r="O321" s="444"/>
      <c r="P321" s="444"/>
      <c r="Q321" s="444"/>
      <c r="R321" s="444"/>
      <c r="S321" s="444"/>
    </row>
    <row r="322" spans="1:19" ht="38.25">
      <c r="A322" s="256" t="s">
        <v>245</v>
      </c>
      <c r="B322" s="444"/>
      <c r="C322" s="444"/>
      <c r="D322" s="444"/>
      <c r="E322" s="256" t="s">
        <v>204</v>
      </c>
      <c r="F322" s="256" t="s">
        <v>205</v>
      </c>
      <c r="G322" s="247" t="s">
        <v>206</v>
      </c>
      <c r="H322" s="256" t="s">
        <v>207</v>
      </c>
      <c r="I322" s="256" t="s">
        <v>208</v>
      </c>
      <c r="J322" s="256" t="s">
        <v>209</v>
      </c>
      <c r="K322" s="256" t="s">
        <v>210</v>
      </c>
      <c r="L322" s="256" t="s">
        <v>211</v>
      </c>
      <c r="M322" s="256" t="s">
        <v>212</v>
      </c>
      <c r="N322" s="256" t="s">
        <v>213</v>
      </c>
      <c r="O322" s="256" t="s">
        <v>214</v>
      </c>
      <c r="P322" s="256" t="s">
        <v>215</v>
      </c>
      <c r="Q322" s="256" t="s">
        <v>216</v>
      </c>
      <c r="R322" s="256" t="s">
        <v>217</v>
      </c>
      <c r="S322" s="256" t="s">
        <v>218</v>
      </c>
    </row>
    <row r="323" spans="1:19">
      <c r="A323" s="254">
        <v>1</v>
      </c>
      <c r="B323" s="418">
        <v>2</v>
      </c>
      <c r="C323" s="418"/>
      <c r="D323" s="254">
        <v>3</v>
      </c>
      <c r="E323" s="254">
        <v>4</v>
      </c>
      <c r="F323" s="254">
        <v>5</v>
      </c>
      <c r="G323" s="254">
        <v>6</v>
      </c>
      <c r="H323" s="254">
        <v>7</v>
      </c>
      <c r="I323" s="254">
        <v>8</v>
      </c>
      <c r="J323" s="254">
        <v>9</v>
      </c>
      <c r="K323" s="254">
        <v>10</v>
      </c>
      <c r="L323" s="254">
        <v>11</v>
      </c>
      <c r="M323" s="254">
        <v>12</v>
      </c>
      <c r="N323" s="254">
        <v>13</v>
      </c>
      <c r="O323" s="254">
        <v>14</v>
      </c>
      <c r="P323" s="254">
        <v>15</v>
      </c>
      <c r="Q323" s="254">
        <v>16</v>
      </c>
      <c r="R323" s="254">
        <v>17</v>
      </c>
      <c r="S323" s="254">
        <v>18</v>
      </c>
    </row>
    <row r="324" spans="1:19">
      <c r="A324" s="416" t="s">
        <v>219</v>
      </c>
      <c r="B324" s="416"/>
      <c r="C324" s="416"/>
      <c r="D324" s="416"/>
      <c r="E324" s="416"/>
      <c r="F324" s="416"/>
      <c r="G324" s="416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ht="15" customHeight="1">
      <c r="A325" s="310" t="s">
        <v>318</v>
      </c>
      <c r="B325" s="441" t="s">
        <v>319</v>
      </c>
      <c r="C325" s="442"/>
      <c r="D325" s="310">
        <v>30</v>
      </c>
      <c r="E325" s="310">
        <v>0.56999999999999995</v>
      </c>
      <c r="F325" s="310">
        <v>2.67</v>
      </c>
      <c r="G325" s="310">
        <v>2.31</v>
      </c>
      <c r="H325" s="303">
        <v>35.700000000000003</v>
      </c>
      <c r="I325" s="310">
        <v>0.01</v>
      </c>
      <c r="J325" s="310">
        <v>0</v>
      </c>
      <c r="K325" s="310">
        <v>2.1</v>
      </c>
      <c r="L325" s="310">
        <v>0.01</v>
      </c>
      <c r="M325" s="310"/>
      <c r="N325" s="310">
        <v>12.3</v>
      </c>
      <c r="O325" s="310">
        <v>11.1</v>
      </c>
      <c r="P325" s="310"/>
      <c r="Q325" s="310">
        <v>0</v>
      </c>
      <c r="R325" s="310">
        <v>4.5</v>
      </c>
      <c r="S325" s="310">
        <v>0.21</v>
      </c>
    </row>
    <row r="326" spans="1:19" ht="15" customHeight="1">
      <c r="A326" s="303">
        <v>71</v>
      </c>
      <c r="B326" s="406" t="s">
        <v>247</v>
      </c>
      <c r="C326" s="406"/>
      <c r="D326" s="303">
        <v>40</v>
      </c>
      <c r="E326" s="303">
        <v>0.33</v>
      </c>
      <c r="F326" s="303">
        <v>0.04</v>
      </c>
      <c r="G326" s="303">
        <v>1.1299999999999999</v>
      </c>
      <c r="H326" s="303">
        <v>6.23</v>
      </c>
      <c r="I326" s="303">
        <v>8.9999999999999993E-3</v>
      </c>
      <c r="J326" s="303">
        <v>0.01</v>
      </c>
      <c r="K326" s="303">
        <v>3</v>
      </c>
      <c r="L326" s="303">
        <v>3.0000000000000001E-3</v>
      </c>
      <c r="M326" s="303">
        <v>0.03</v>
      </c>
      <c r="N326" s="303">
        <v>6.9</v>
      </c>
      <c r="O326" s="303">
        <v>12.6</v>
      </c>
      <c r="P326" s="303">
        <v>6.4000000000000001E-2</v>
      </c>
      <c r="Q326" s="303">
        <v>1E-3</v>
      </c>
      <c r="R326" s="303">
        <v>4.2</v>
      </c>
      <c r="S326" s="303">
        <v>0.18</v>
      </c>
    </row>
    <row r="327" spans="1:19" ht="15" customHeight="1">
      <c r="A327" s="310">
        <v>279</v>
      </c>
      <c r="B327" s="406" t="s">
        <v>354</v>
      </c>
      <c r="C327" s="406"/>
      <c r="D327" s="310" t="s">
        <v>321</v>
      </c>
      <c r="E327" s="310">
        <v>11.7</v>
      </c>
      <c r="F327" s="310">
        <v>14.1</v>
      </c>
      <c r="G327" s="310">
        <v>14.9</v>
      </c>
      <c r="H327" s="310">
        <v>233.4</v>
      </c>
      <c r="I327" s="310">
        <v>0.16</v>
      </c>
      <c r="J327" s="310">
        <v>0.13</v>
      </c>
      <c r="K327" s="310">
        <v>0.31</v>
      </c>
      <c r="L327" s="310">
        <v>8.9999999999999993E-3</v>
      </c>
      <c r="M327" s="310">
        <v>0.01</v>
      </c>
      <c r="N327" s="310">
        <v>12.65</v>
      </c>
      <c r="O327" s="310">
        <v>138.55000000000001</v>
      </c>
      <c r="P327" s="310">
        <v>1.99</v>
      </c>
      <c r="Q327" s="310">
        <v>0.03</v>
      </c>
      <c r="R327" s="310">
        <v>20.29</v>
      </c>
      <c r="S327" s="310">
        <v>1.73</v>
      </c>
    </row>
    <row r="328" spans="1:19" ht="15" customHeight="1">
      <c r="A328" s="310">
        <v>203</v>
      </c>
      <c r="B328" s="406" t="s">
        <v>233</v>
      </c>
      <c r="C328" s="406"/>
      <c r="D328" s="310">
        <v>180</v>
      </c>
      <c r="E328" s="310">
        <v>6.62</v>
      </c>
      <c r="F328" s="310">
        <v>5.42</v>
      </c>
      <c r="G328" s="310">
        <v>31.74</v>
      </c>
      <c r="H328" s="310">
        <v>202.3</v>
      </c>
      <c r="I328" s="310">
        <v>0.108</v>
      </c>
      <c r="J328" s="310">
        <v>3.5999999999999997E-2</v>
      </c>
      <c r="K328" s="310">
        <v>0</v>
      </c>
      <c r="L328" s="310">
        <v>3.5999999999999997E-2</v>
      </c>
      <c r="M328" s="310">
        <v>1.5</v>
      </c>
      <c r="N328" s="310">
        <v>15.94</v>
      </c>
      <c r="O328" s="310">
        <v>55.45</v>
      </c>
      <c r="P328" s="310">
        <v>0.94</v>
      </c>
      <c r="Q328" s="310">
        <v>2E-3</v>
      </c>
      <c r="R328" s="310">
        <v>10.16</v>
      </c>
      <c r="S328" s="310">
        <v>0.86</v>
      </c>
    </row>
    <row r="329" spans="1:19" ht="15" customHeight="1">
      <c r="A329" s="310">
        <v>338</v>
      </c>
      <c r="B329" s="406" t="s">
        <v>288</v>
      </c>
      <c r="C329" s="406"/>
      <c r="D329" s="310">
        <v>100</v>
      </c>
      <c r="E329" s="310">
        <v>0.4</v>
      </c>
      <c r="F329" s="310">
        <v>0.4</v>
      </c>
      <c r="G329" s="310">
        <v>9.8000000000000007</v>
      </c>
      <c r="H329" s="310">
        <v>44.4</v>
      </c>
      <c r="I329" s="310">
        <v>0.04</v>
      </c>
      <c r="J329" s="310">
        <v>0.02</v>
      </c>
      <c r="K329" s="310">
        <v>10</v>
      </c>
      <c r="L329" s="310">
        <v>0</v>
      </c>
      <c r="M329" s="310">
        <v>0.2</v>
      </c>
      <c r="N329" s="310">
        <v>16</v>
      </c>
      <c r="O329" s="310">
        <v>11</v>
      </c>
      <c r="P329" s="310">
        <v>0</v>
      </c>
      <c r="Q329" s="310">
        <v>0</v>
      </c>
      <c r="R329" s="310">
        <v>9</v>
      </c>
      <c r="S329" s="310">
        <v>2.2000000000000002</v>
      </c>
    </row>
    <row r="330" spans="1:19" ht="15" customHeight="1">
      <c r="A330" s="310">
        <v>381</v>
      </c>
      <c r="B330" s="406" t="s">
        <v>322</v>
      </c>
      <c r="C330" s="406"/>
      <c r="D330" s="310">
        <v>200</v>
      </c>
      <c r="E330" s="310"/>
      <c r="F330" s="310"/>
      <c r="G330" s="310">
        <v>19.96</v>
      </c>
      <c r="H330" s="310">
        <v>80</v>
      </c>
      <c r="I330" s="310"/>
      <c r="J330" s="310"/>
      <c r="K330" s="310"/>
      <c r="L330" s="310"/>
      <c r="M330" s="310">
        <v>0</v>
      </c>
      <c r="N330" s="310">
        <v>0.4</v>
      </c>
      <c r="O330" s="310"/>
      <c r="P330" s="310">
        <v>0</v>
      </c>
      <c r="Q330" s="310"/>
      <c r="R330" s="310"/>
      <c r="S330" s="310">
        <v>0.06</v>
      </c>
    </row>
    <row r="331" spans="1:19" ht="15" customHeight="1">
      <c r="A331" s="310" t="s">
        <v>224</v>
      </c>
      <c r="B331" s="406" t="s">
        <v>161</v>
      </c>
      <c r="C331" s="406"/>
      <c r="D331" s="310">
        <v>40</v>
      </c>
      <c r="E331" s="310">
        <v>3.04</v>
      </c>
      <c r="F331" s="310">
        <v>0.32</v>
      </c>
      <c r="G331" s="310">
        <v>19.68</v>
      </c>
      <c r="H331" s="310">
        <v>94</v>
      </c>
      <c r="I331" s="310">
        <v>0.04</v>
      </c>
      <c r="J331" s="310">
        <v>0.01</v>
      </c>
      <c r="K331" s="310">
        <v>0.88</v>
      </c>
      <c r="L331" s="310">
        <v>0</v>
      </c>
      <c r="M331" s="310">
        <v>0.7</v>
      </c>
      <c r="N331" s="310">
        <v>8</v>
      </c>
      <c r="O331" s="310">
        <v>26</v>
      </c>
      <c r="P331" s="310">
        <v>8.0000000000000002E-3</v>
      </c>
      <c r="Q331" s="310">
        <v>3.0000000000000001E-3</v>
      </c>
      <c r="R331" s="310">
        <v>0</v>
      </c>
      <c r="S331" s="310">
        <v>0.44</v>
      </c>
    </row>
    <row r="332" spans="1:19" ht="25.5" customHeight="1">
      <c r="A332" s="413" t="s">
        <v>251</v>
      </c>
      <c r="B332" s="414"/>
      <c r="C332" s="415"/>
      <c r="D332" s="301">
        <f>D326+100+D328+D329+D330+D331</f>
        <v>660</v>
      </c>
      <c r="E332" s="301">
        <f>SUM(E326:E331)</f>
        <v>22.089999999999996</v>
      </c>
      <c r="F332" s="301">
        <f t="shared" ref="F332:S332" si="66">SUM(F326:F331)</f>
        <v>20.279999999999998</v>
      </c>
      <c r="G332" s="301">
        <f t="shared" si="66"/>
        <v>97.210000000000008</v>
      </c>
      <c r="H332" s="301">
        <f t="shared" si="66"/>
        <v>660.32999999999993</v>
      </c>
      <c r="I332" s="301">
        <f t="shared" si="66"/>
        <v>0.35699999999999998</v>
      </c>
      <c r="J332" s="301">
        <f t="shared" si="66"/>
        <v>0.20600000000000002</v>
      </c>
      <c r="K332" s="301">
        <f t="shared" si="66"/>
        <v>14.190000000000001</v>
      </c>
      <c r="L332" s="301">
        <f t="shared" si="66"/>
        <v>4.8000000000000001E-2</v>
      </c>
      <c r="M332" s="301">
        <f t="shared" si="66"/>
        <v>2.44</v>
      </c>
      <c r="N332" s="301">
        <f t="shared" si="66"/>
        <v>59.89</v>
      </c>
      <c r="O332" s="301">
        <f t="shared" si="66"/>
        <v>243.60000000000002</v>
      </c>
      <c r="P332" s="301">
        <f t="shared" si="66"/>
        <v>3.0019999999999998</v>
      </c>
      <c r="Q332" s="301">
        <f t="shared" si="66"/>
        <v>3.6000000000000004E-2</v>
      </c>
      <c r="R332" s="301">
        <f t="shared" si="66"/>
        <v>43.65</v>
      </c>
      <c r="S332" s="301">
        <f t="shared" si="66"/>
        <v>5.4700000000000006</v>
      </c>
    </row>
    <row r="333" spans="1:19" ht="15" customHeight="1">
      <c r="A333" s="405" t="s">
        <v>226</v>
      </c>
      <c r="B333" s="405"/>
      <c r="C333" s="405"/>
      <c r="D333" s="405"/>
      <c r="E333" s="174">
        <f ca="1">E332/E350</f>
        <v>0.24544444444444441</v>
      </c>
      <c r="F333" s="174">
        <f t="shared" ref="F333:S333" ca="1" si="67">F332/F350</f>
        <v>0.22043478260869562</v>
      </c>
      <c r="G333" s="174">
        <f t="shared" ca="1" si="67"/>
        <v>0.25381201044386426</v>
      </c>
      <c r="H333" s="174">
        <f t="shared" ca="1" si="67"/>
        <v>0.24276838235294115</v>
      </c>
      <c r="I333" s="174">
        <f t="shared" ca="1" si="67"/>
        <v>0.255</v>
      </c>
      <c r="J333" s="174">
        <f t="shared" ca="1" si="67"/>
        <v>0.12875</v>
      </c>
      <c r="K333" s="174">
        <f t="shared" ca="1" si="67"/>
        <v>0.20271428571428574</v>
      </c>
      <c r="L333" s="174">
        <f t="shared" ca="1" si="67"/>
        <v>5.333333333333333E-2</v>
      </c>
      <c r="M333" s="174">
        <f t="shared" ca="1" si="67"/>
        <v>0.20333333333333334</v>
      </c>
      <c r="N333" s="174">
        <f t="shared" ca="1" si="67"/>
        <v>4.9908333333333332E-2</v>
      </c>
      <c r="O333" s="174">
        <f t="shared" ca="1" si="67"/>
        <v>0.20300000000000001</v>
      </c>
      <c r="P333" s="174">
        <f t="shared" ca="1" si="67"/>
        <v>0.21442857142857141</v>
      </c>
      <c r="Q333" s="174">
        <f t="shared" ca="1" si="67"/>
        <v>0.36000000000000004</v>
      </c>
      <c r="R333" s="174">
        <f t="shared" ca="1" si="67"/>
        <v>0.14549999999999999</v>
      </c>
      <c r="S333" s="174">
        <f t="shared" ca="1" si="67"/>
        <v>0.30388888888888893</v>
      </c>
    </row>
    <row r="334" spans="1:19" ht="15" customHeight="1">
      <c r="A334" s="416" t="s">
        <v>227</v>
      </c>
      <c r="B334" s="416"/>
      <c r="C334" s="416"/>
      <c r="D334" s="416"/>
      <c r="E334" s="416"/>
      <c r="F334" s="416"/>
      <c r="G334" s="416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ht="15" customHeight="1">
      <c r="A335" s="310">
        <v>52</v>
      </c>
      <c r="B335" s="406" t="s">
        <v>252</v>
      </c>
      <c r="C335" s="406"/>
      <c r="D335" s="310">
        <v>100</v>
      </c>
      <c r="E335" s="310">
        <v>1.43</v>
      </c>
      <c r="F335" s="310">
        <v>5.08</v>
      </c>
      <c r="G335" s="310">
        <v>8.5500000000000007</v>
      </c>
      <c r="H335" s="310">
        <v>85.68</v>
      </c>
      <c r="I335" s="310">
        <v>0.02</v>
      </c>
      <c r="J335" s="310">
        <v>0.03</v>
      </c>
      <c r="K335" s="310">
        <v>9.5</v>
      </c>
      <c r="L335" s="310">
        <v>0.02</v>
      </c>
      <c r="M335" s="310">
        <v>0.17</v>
      </c>
      <c r="N335" s="310">
        <v>44.35</v>
      </c>
      <c r="O335" s="310">
        <v>42.73</v>
      </c>
      <c r="P335" s="310">
        <v>0.72</v>
      </c>
      <c r="Q335" s="310">
        <v>1.7000000000000001E-2</v>
      </c>
      <c r="R335" s="310">
        <v>21.5</v>
      </c>
      <c r="S335" s="310">
        <v>1.4</v>
      </c>
    </row>
    <row r="336" spans="1:19" ht="15" customHeight="1">
      <c r="A336" s="310">
        <v>124</v>
      </c>
      <c r="B336" s="406" t="s">
        <v>323</v>
      </c>
      <c r="C336" s="406"/>
      <c r="D336" s="310">
        <v>250</v>
      </c>
      <c r="E336" s="310">
        <v>1.75</v>
      </c>
      <c r="F336" s="310">
        <v>5.63</v>
      </c>
      <c r="G336" s="310">
        <v>8.5</v>
      </c>
      <c r="H336" s="310">
        <v>95</v>
      </c>
      <c r="I336" s="310">
        <v>0.05</v>
      </c>
      <c r="J336" s="310">
        <v>0.05</v>
      </c>
      <c r="K336" s="310">
        <v>12</v>
      </c>
      <c r="L336" s="310">
        <v>0.05</v>
      </c>
      <c r="M336" s="310"/>
      <c r="N336" s="310">
        <v>31.8</v>
      </c>
      <c r="O336" s="310">
        <v>0</v>
      </c>
      <c r="P336" s="310"/>
      <c r="Q336" s="310">
        <v>0</v>
      </c>
      <c r="R336" s="310">
        <v>19.100000000000001</v>
      </c>
      <c r="S336" s="310">
        <v>0.7</v>
      </c>
    </row>
    <row r="337" spans="1:19" ht="24" customHeight="1">
      <c r="A337" s="310">
        <v>232</v>
      </c>
      <c r="B337" s="406" t="s">
        <v>324</v>
      </c>
      <c r="C337" s="406"/>
      <c r="D337" s="310">
        <v>100</v>
      </c>
      <c r="E337" s="310">
        <v>22.21</v>
      </c>
      <c r="F337" s="310">
        <v>11.65</v>
      </c>
      <c r="G337" s="310">
        <v>2.99</v>
      </c>
      <c r="H337" s="310">
        <v>205.7</v>
      </c>
      <c r="I337" s="310">
        <v>0.23</v>
      </c>
      <c r="J337" s="310">
        <v>0.19</v>
      </c>
      <c r="K337" s="310">
        <v>1.1000000000000001</v>
      </c>
      <c r="L337" s="310">
        <v>0.03</v>
      </c>
      <c r="M337" s="310">
        <v>0.125</v>
      </c>
      <c r="N337" s="310">
        <v>41.7</v>
      </c>
      <c r="O337" s="310">
        <v>12.6</v>
      </c>
      <c r="P337" s="310">
        <v>0.3</v>
      </c>
      <c r="Q337" s="310">
        <v>1.0999999999999999E-2</v>
      </c>
      <c r="R337" s="310">
        <v>23.03</v>
      </c>
      <c r="S337" s="310">
        <v>0.79</v>
      </c>
    </row>
    <row r="338" spans="1:19" ht="15" customHeight="1">
      <c r="A338" s="310">
        <v>312</v>
      </c>
      <c r="B338" s="406" t="s">
        <v>256</v>
      </c>
      <c r="C338" s="406"/>
      <c r="D338" s="310">
        <v>180</v>
      </c>
      <c r="E338" s="310">
        <v>3.95</v>
      </c>
      <c r="F338" s="310">
        <v>8.4700000000000006</v>
      </c>
      <c r="G338" s="310">
        <v>26.65</v>
      </c>
      <c r="H338" s="310">
        <v>198.65</v>
      </c>
      <c r="I338" s="310">
        <v>0.19</v>
      </c>
      <c r="J338" s="310">
        <v>0.16</v>
      </c>
      <c r="K338" s="310">
        <v>31.33</v>
      </c>
      <c r="L338" s="310">
        <v>9.6000000000000002E-2</v>
      </c>
      <c r="M338" s="310">
        <v>1.8</v>
      </c>
      <c r="N338" s="310">
        <v>51.05</v>
      </c>
      <c r="O338" s="310">
        <v>117.3</v>
      </c>
      <c r="P338" s="310">
        <v>0.35899999999999999</v>
      </c>
      <c r="Q338" s="310">
        <v>1E-3</v>
      </c>
      <c r="R338" s="310">
        <v>39.67</v>
      </c>
      <c r="S338" s="310">
        <v>1.43</v>
      </c>
    </row>
    <row r="339" spans="1:19" ht="15" customHeight="1">
      <c r="A339" s="305">
        <v>376</v>
      </c>
      <c r="B339" s="417" t="s">
        <v>141</v>
      </c>
      <c r="C339" s="417"/>
      <c r="D339" s="305">
        <v>200</v>
      </c>
      <c r="E339" s="305">
        <v>0.2</v>
      </c>
      <c r="F339" s="305">
        <v>0.05</v>
      </c>
      <c r="G339" s="305">
        <v>15.01</v>
      </c>
      <c r="H339" s="305">
        <v>61</v>
      </c>
      <c r="I339" s="305">
        <v>0</v>
      </c>
      <c r="J339" s="305">
        <v>0.01</v>
      </c>
      <c r="K339" s="305">
        <v>9</v>
      </c>
      <c r="L339" s="305">
        <v>1E-4</v>
      </c>
      <c r="M339" s="305">
        <v>4.4999999999999998E-2</v>
      </c>
      <c r="N339" s="305">
        <v>5.25</v>
      </c>
      <c r="O339" s="305">
        <v>8.24</v>
      </c>
      <c r="P339" s="305">
        <v>8.0000000000000002E-3</v>
      </c>
      <c r="Q339" s="305">
        <v>0</v>
      </c>
      <c r="R339" s="305">
        <v>4.4000000000000004</v>
      </c>
      <c r="S339" s="305">
        <v>0.87</v>
      </c>
    </row>
    <row r="340" spans="1:19" ht="15" customHeight="1">
      <c r="A340" s="310" t="s">
        <v>224</v>
      </c>
      <c r="B340" s="406" t="s">
        <v>235</v>
      </c>
      <c r="C340" s="406"/>
      <c r="D340" s="310">
        <v>40</v>
      </c>
      <c r="E340" s="310">
        <v>2.64</v>
      </c>
      <c r="F340" s="310">
        <v>0.48</v>
      </c>
      <c r="G340" s="310">
        <v>13.68</v>
      </c>
      <c r="H340" s="310">
        <v>69.599999999999994</v>
      </c>
      <c r="I340" s="310">
        <v>0.08</v>
      </c>
      <c r="J340" s="310">
        <v>0.04</v>
      </c>
      <c r="K340" s="310">
        <v>0</v>
      </c>
      <c r="L340" s="310">
        <v>0</v>
      </c>
      <c r="M340" s="310">
        <v>2.4</v>
      </c>
      <c r="N340" s="310">
        <v>14</v>
      </c>
      <c r="O340" s="310">
        <v>63.2</v>
      </c>
      <c r="P340" s="310">
        <v>1.2</v>
      </c>
      <c r="Q340" s="310">
        <v>1E-3</v>
      </c>
      <c r="R340" s="310">
        <v>9.4</v>
      </c>
      <c r="S340" s="310">
        <v>0.78</v>
      </c>
    </row>
    <row r="341" spans="1:19" ht="15" customHeight="1">
      <c r="A341" s="310" t="s">
        <v>224</v>
      </c>
      <c r="B341" s="406" t="s">
        <v>117</v>
      </c>
      <c r="C341" s="406"/>
      <c r="D341" s="310">
        <v>30</v>
      </c>
      <c r="E341" s="310">
        <v>1.52</v>
      </c>
      <c r="F341" s="310">
        <v>0.16</v>
      </c>
      <c r="G341" s="310">
        <v>9.84</v>
      </c>
      <c r="H341" s="310">
        <v>46.9</v>
      </c>
      <c r="I341" s="310">
        <v>0.02</v>
      </c>
      <c r="J341" s="310">
        <v>0.01</v>
      </c>
      <c r="K341" s="310">
        <v>0.44</v>
      </c>
      <c r="L341" s="310">
        <v>0</v>
      </c>
      <c r="M341" s="310">
        <v>0.7</v>
      </c>
      <c r="N341" s="310">
        <v>4</v>
      </c>
      <c r="O341" s="310">
        <v>13</v>
      </c>
      <c r="P341" s="310">
        <v>8.0000000000000002E-3</v>
      </c>
      <c r="Q341" s="310">
        <v>1E-3</v>
      </c>
      <c r="R341" s="310">
        <v>0</v>
      </c>
      <c r="S341" s="310">
        <v>0.22</v>
      </c>
    </row>
    <row r="342" spans="1:19" ht="15" customHeight="1">
      <c r="A342" s="405" t="s">
        <v>236</v>
      </c>
      <c r="B342" s="405"/>
      <c r="C342" s="405"/>
      <c r="D342" s="301">
        <f>SUM(D335:D341)</f>
        <v>900</v>
      </c>
      <c r="E342" s="301">
        <f t="shared" ref="E342:S342" si="68">SUM(E335:E341)</f>
        <v>33.700000000000003</v>
      </c>
      <c r="F342" s="301">
        <f t="shared" si="68"/>
        <v>31.52</v>
      </c>
      <c r="G342" s="301">
        <f t="shared" si="68"/>
        <v>85.22</v>
      </c>
      <c r="H342" s="301">
        <f t="shared" si="68"/>
        <v>762.53</v>
      </c>
      <c r="I342" s="301">
        <f t="shared" si="68"/>
        <v>0.59000000000000008</v>
      </c>
      <c r="J342" s="301">
        <f t="shared" si="68"/>
        <v>0.49000000000000005</v>
      </c>
      <c r="K342" s="301">
        <f t="shared" si="68"/>
        <v>63.37</v>
      </c>
      <c r="L342" s="301">
        <f t="shared" si="68"/>
        <v>0.1961</v>
      </c>
      <c r="M342" s="301">
        <f t="shared" si="68"/>
        <v>5.24</v>
      </c>
      <c r="N342" s="301">
        <f t="shared" si="68"/>
        <v>192.15</v>
      </c>
      <c r="O342" s="301">
        <f t="shared" si="68"/>
        <v>257.07</v>
      </c>
      <c r="P342" s="301">
        <f t="shared" si="68"/>
        <v>2.5949999999999998</v>
      </c>
      <c r="Q342" s="301">
        <f t="shared" si="68"/>
        <v>3.1000000000000003E-2</v>
      </c>
      <c r="R342" s="301">
        <f t="shared" si="68"/>
        <v>117.10000000000002</v>
      </c>
      <c r="S342" s="301">
        <f t="shared" si="68"/>
        <v>6.1899999999999995</v>
      </c>
    </row>
    <row r="343" spans="1:19" ht="15" customHeight="1">
      <c r="A343" s="405" t="s">
        <v>226</v>
      </c>
      <c r="B343" s="405"/>
      <c r="C343" s="405"/>
      <c r="D343" s="405"/>
      <c r="E343" s="174">
        <f ca="1">E342/E350</f>
        <v>0.37444444444444447</v>
      </c>
      <c r="F343" s="174">
        <f t="shared" ref="F343:S343" ca="1" si="69">F342/F350</f>
        <v>0.34260869565217389</v>
      </c>
      <c r="G343" s="174">
        <f t="shared" ca="1" si="69"/>
        <v>0.2225065274151436</v>
      </c>
      <c r="H343" s="174">
        <f t="shared" ca="1" si="69"/>
        <v>0.28034191176470585</v>
      </c>
      <c r="I343" s="174">
        <f t="shared" ca="1" si="69"/>
        <v>0.42142857142857149</v>
      </c>
      <c r="J343" s="174">
        <f t="shared" ca="1" si="69"/>
        <v>0.30625000000000002</v>
      </c>
      <c r="K343" s="174">
        <f t="shared" ca="1" si="69"/>
        <v>0.90528571428571425</v>
      </c>
      <c r="L343" s="174">
        <f t="shared" ca="1" si="69"/>
        <v>0.21788888888888888</v>
      </c>
      <c r="M343" s="174">
        <f t="shared" ca="1" si="69"/>
        <v>0.4366666666666667</v>
      </c>
      <c r="N343" s="174">
        <f t="shared" ca="1" si="69"/>
        <v>0.16012500000000002</v>
      </c>
      <c r="O343" s="174">
        <f t="shared" ca="1" si="69"/>
        <v>0.214225</v>
      </c>
      <c r="P343" s="174">
        <f t="shared" ca="1" si="69"/>
        <v>0.18535714285714283</v>
      </c>
      <c r="Q343" s="174">
        <f t="shared" ca="1" si="69"/>
        <v>0.31</v>
      </c>
      <c r="R343" s="174">
        <f t="shared" ca="1" si="69"/>
        <v>0.39033333333333342</v>
      </c>
      <c r="S343" s="174">
        <f t="shared" ca="1" si="69"/>
        <v>0.34388888888888886</v>
      </c>
    </row>
    <row r="344" spans="1:19">
      <c r="A344" s="416" t="s">
        <v>237</v>
      </c>
      <c r="B344" s="416"/>
      <c r="C344" s="416"/>
      <c r="D344" s="416"/>
      <c r="E344" s="416"/>
      <c r="F344" s="416"/>
      <c r="G344" s="416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ht="15" customHeight="1">
      <c r="A345" s="310" t="s">
        <v>224</v>
      </c>
      <c r="B345" s="406" t="s">
        <v>282</v>
      </c>
      <c r="C345" s="406"/>
      <c r="D345" s="310">
        <v>65</v>
      </c>
      <c r="E345" s="310">
        <v>4.16</v>
      </c>
      <c r="F345" s="310">
        <v>8.14</v>
      </c>
      <c r="G345" s="310">
        <v>33.799999999999997</v>
      </c>
      <c r="H345" s="310">
        <v>225.34</v>
      </c>
      <c r="I345" s="310">
        <v>0.06</v>
      </c>
      <c r="J345" s="310">
        <v>0.05</v>
      </c>
      <c r="K345" s="310">
        <v>0</v>
      </c>
      <c r="L345" s="310">
        <v>0.06</v>
      </c>
      <c r="M345" s="310"/>
      <c r="N345" s="310">
        <v>11.26</v>
      </c>
      <c r="O345" s="310">
        <v>0</v>
      </c>
      <c r="P345" s="310"/>
      <c r="Q345" s="310">
        <v>0</v>
      </c>
      <c r="R345" s="310">
        <v>0</v>
      </c>
      <c r="S345" s="310">
        <v>0.6</v>
      </c>
    </row>
    <row r="346" spans="1:19" ht="15" customHeight="1">
      <c r="A346" s="310">
        <v>648</v>
      </c>
      <c r="B346" s="406" t="s">
        <v>294</v>
      </c>
      <c r="C346" s="406"/>
      <c r="D346" s="310">
        <v>200</v>
      </c>
      <c r="E346" s="310">
        <v>0</v>
      </c>
      <c r="F346" s="310">
        <v>0</v>
      </c>
      <c r="G346" s="310">
        <v>20</v>
      </c>
      <c r="H346" s="310">
        <v>76</v>
      </c>
      <c r="I346" s="310">
        <v>0</v>
      </c>
      <c r="J346" s="310">
        <v>0</v>
      </c>
      <c r="K346" s="310">
        <v>0</v>
      </c>
      <c r="L346" s="310">
        <v>0</v>
      </c>
      <c r="M346" s="310"/>
      <c r="N346" s="310">
        <v>0.48</v>
      </c>
      <c r="O346" s="310">
        <v>0</v>
      </c>
      <c r="P346" s="310">
        <v>0</v>
      </c>
      <c r="Q346" s="310">
        <v>0</v>
      </c>
      <c r="R346" s="310">
        <v>0</v>
      </c>
      <c r="S346" s="310">
        <v>0.06</v>
      </c>
    </row>
    <row r="347" spans="1:19">
      <c r="A347" s="413" t="s">
        <v>240</v>
      </c>
      <c r="B347" s="414"/>
      <c r="C347" s="415"/>
      <c r="D347" s="301">
        <f>SUM(D345:D346)</f>
        <v>265</v>
      </c>
      <c r="E347" s="301">
        <f t="shared" ref="E347:S347" si="70">SUM(E345:E346)</f>
        <v>4.16</v>
      </c>
      <c r="F347" s="301">
        <f t="shared" si="70"/>
        <v>8.14</v>
      </c>
      <c r="G347" s="301">
        <f t="shared" si="70"/>
        <v>53.8</v>
      </c>
      <c r="H347" s="301">
        <f t="shared" si="70"/>
        <v>301.34000000000003</v>
      </c>
      <c r="I347" s="301">
        <f t="shared" si="70"/>
        <v>0.06</v>
      </c>
      <c r="J347" s="301">
        <f t="shared" si="70"/>
        <v>0.05</v>
      </c>
      <c r="K347" s="301">
        <f t="shared" si="70"/>
        <v>0</v>
      </c>
      <c r="L347" s="301">
        <f t="shared" si="70"/>
        <v>0.06</v>
      </c>
      <c r="M347" s="301">
        <f t="shared" si="70"/>
        <v>0</v>
      </c>
      <c r="N347" s="301">
        <f t="shared" si="70"/>
        <v>11.74</v>
      </c>
      <c r="O347" s="301">
        <f t="shared" si="70"/>
        <v>0</v>
      </c>
      <c r="P347" s="301">
        <f t="shared" si="70"/>
        <v>0</v>
      </c>
      <c r="Q347" s="301">
        <f t="shared" si="70"/>
        <v>0</v>
      </c>
      <c r="R347" s="301">
        <f t="shared" si="70"/>
        <v>0</v>
      </c>
      <c r="S347" s="301">
        <f t="shared" si="70"/>
        <v>0.65999999999999992</v>
      </c>
    </row>
    <row r="348" spans="1:19" ht="15" customHeight="1">
      <c r="A348" s="405" t="s">
        <v>226</v>
      </c>
      <c r="B348" s="405"/>
      <c r="C348" s="405"/>
      <c r="D348" s="405"/>
      <c r="E348" s="174">
        <f ca="1">E347/E350</f>
        <v>4.6222222222222227E-2</v>
      </c>
      <c r="F348" s="174">
        <f t="shared" ref="F348:S348" ca="1" si="71">F347/F350</f>
        <v>8.8478260869565228E-2</v>
      </c>
      <c r="G348" s="174">
        <f t="shared" ca="1" si="71"/>
        <v>0.14046997389033941</v>
      </c>
      <c r="H348" s="174">
        <f t="shared" ca="1" si="71"/>
        <v>0.11078676470588236</v>
      </c>
      <c r="I348" s="174">
        <f t="shared" ca="1" si="71"/>
        <v>4.2857142857142858E-2</v>
      </c>
      <c r="J348" s="174">
        <f t="shared" ca="1" si="71"/>
        <v>3.125E-2</v>
      </c>
      <c r="K348" s="174">
        <f t="shared" ca="1" si="71"/>
        <v>0</v>
      </c>
      <c r="L348" s="174">
        <f t="shared" ca="1" si="71"/>
        <v>6.6666666666666666E-2</v>
      </c>
      <c r="M348" s="174">
        <f t="shared" ca="1" si="71"/>
        <v>0</v>
      </c>
      <c r="N348" s="174">
        <f t="shared" ca="1" si="71"/>
        <v>9.7833333333333331E-3</v>
      </c>
      <c r="O348" s="174">
        <f t="shared" ca="1" si="71"/>
        <v>0</v>
      </c>
      <c r="P348" s="174">
        <f t="shared" ca="1" si="71"/>
        <v>0</v>
      </c>
      <c r="Q348" s="174">
        <f t="shared" ca="1" si="71"/>
        <v>0</v>
      </c>
      <c r="R348" s="174">
        <f t="shared" ca="1" si="71"/>
        <v>0</v>
      </c>
      <c r="S348" s="174">
        <f t="shared" ca="1" si="71"/>
        <v>3.666666666666666E-2</v>
      </c>
    </row>
    <row r="349" spans="1:19" ht="15" customHeight="1">
      <c r="A349" s="405" t="s">
        <v>241</v>
      </c>
      <c r="B349" s="405"/>
      <c r="C349" s="405"/>
      <c r="D349" s="405"/>
      <c r="E349" s="260">
        <f>E347+E342+E332</f>
        <v>59.949999999999996</v>
      </c>
      <c r="F349" s="260">
        <f t="shared" ref="F349:S349" si="72">F347+F342+F332</f>
        <v>59.94</v>
      </c>
      <c r="G349" s="260">
        <f t="shared" si="72"/>
        <v>236.23</v>
      </c>
      <c r="H349" s="260">
        <f t="shared" si="72"/>
        <v>1724.1999999999998</v>
      </c>
      <c r="I349" s="260">
        <f t="shared" si="72"/>
        <v>1.0070000000000001</v>
      </c>
      <c r="J349" s="260">
        <f t="shared" si="72"/>
        <v>0.746</v>
      </c>
      <c r="K349" s="260">
        <f t="shared" si="72"/>
        <v>77.56</v>
      </c>
      <c r="L349" s="260">
        <f t="shared" si="72"/>
        <v>0.30409999999999998</v>
      </c>
      <c r="M349" s="260">
        <f t="shared" si="72"/>
        <v>7.68</v>
      </c>
      <c r="N349" s="260">
        <f t="shared" si="72"/>
        <v>263.78000000000003</v>
      </c>
      <c r="O349" s="260">
        <f t="shared" si="72"/>
        <v>500.67</v>
      </c>
      <c r="P349" s="260">
        <f t="shared" si="72"/>
        <v>5.5969999999999995</v>
      </c>
      <c r="Q349" s="260">
        <f t="shared" si="72"/>
        <v>6.7000000000000004E-2</v>
      </c>
      <c r="R349" s="260">
        <f t="shared" si="72"/>
        <v>160.75000000000003</v>
      </c>
      <c r="S349" s="260">
        <f t="shared" si="72"/>
        <v>12.32</v>
      </c>
    </row>
    <row r="350" spans="1:19" ht="15" customHeight="1">
      <c r="A350" s="405" t="s">
        <v>226</v>
      </c>
      <c r="B350" s="405"/>
      <c r="C350" s="405"/>
      <c r="D350" s="405"/>
      <c r="E350" s="174">
        <f ca="1">E348/E349</f>
        <v>0.88733333333333353</v>
      </c>
      <c r="F350" s="174">
        <f t="shared" ref="F350:S350" ca="1" si="73">F348/F349</f>
        <v>0.94108695652173913</v>
      </c>
      <c r="G350" s="174">
        <f t="shared" ca="1" si="73"/>
        <v>0.57334203655352489</v>
      </c>
      <c r="H350" s="174">
        <f t="shared" ca="1" si="73"/>
        <v>0.72706250000000006</v>
      </c>
      <c r="I350" s="174">
        <f t="shared" ca="1" si="73"/>
        <v>0.69214285714285728</v>
      </c>
      <c r="J350" s="174">
        <f t="shared" ca="1" si="73"/>
        <v>0.85187499999999994</v>
      </c>
      <c r="K350" s="174">
        <f t="shared" ca="1" si="73"/>
        <v>0.50814285714285712</v>
      </c>
      <c r="L350" s="174">
        <f t="shared" ca="1" si="73"/>
        <v>0.42233333333333334</v>
      </c>
      <c r="M350" s="174">
        <f t="shared" ca="1" si="73"/>
        <v>0.61658333333333326</v>
      </c>
      <c r="N350" s="174">
        <f t="shared" ca="1" si="73"/>
        <v>0.48055000000000009</v>
      </c>
      <c r="O350" s="174">
        <f t="shared" ca="1" si="73"/>
        <v>0.94410833333333344</v>
      </c>
      <c r="P350" s="174">
        <f t="shared" ca="1" si="73"/>
        <v>0.31071428571428578</v>
      </c>
      <c r="Q350" s="174">
        <f t="shared" ca="1" si="73"/>
        <v>0.97700000000000009</v>
      </c>
      <c r="R350" s="174">
        <f t="shared" ca="1" si="73"/>
        <v>0.9202999999999999</v>
      </c>
      <c r="S350" s="174">
        <f t="shared" ca="1" si="73"/>
        <v>0.98611111111111116</v>
      </c>
    </row>
    <row r="351" spans="1:19" ht="15" customHeight="1">
      <c r="A351" s="405" t="s">
        <v>295</v>
      </c>
      <c r="B351" s="405"/>
      <c r="C351" s="405"/>
      <c r="D351" s="405"/>
      <c r="E351" s="190">
        <f t="shared" ref="E351:S351" si="74">(E193+E228+E261+E297+E331)/5</f>
        <v>36.18307594936708</v>
      </c>
      <c r="F351" s="190">
        <f t="shared" si="74"/>
        <v>81.243371900826432</v>
      </c>
      <c r="G351" s="190">
        <f t="shared" si="74"/>
        <v>75.54643845796565</v>
      </c>
      <c r="H351" s="190">
        <f t="shared" si="74"/>
        <v>824.6678404215279</v>
      </c>
      <c r="I351" s="190">
        <f t="shared" si="74"/>
        <v>0.81755</v>
      </c>
      <c r="J351" s="190">
        <f t="shared" si="74"/>
        <v>2.0572666666666666</v>
      </c>
      <c r="K351" s="190">
        <f t="shared" si="74"/>
        <v>133.91394736842105</v>
      </c>
      <c r="L351" s="190">
        <f t="shared" si="74"/>
        <v>0.38062000000000007</v>
      </c>
      <c r="M351" s="190">
        <f t="shared" si="74"/>
        <v>2.7610000000000001</v>
      </c>
      <c r="N351" s="190">
        <f t="shared" si="74"/>
        <v>2349.3464703565101</v>
      </c>
      <c r="O351" s="190">
        <f t="shared" si="74"/>
        <v>3166.7326680942183</v>
      </c>
      <c r="P351" s="190">
        <f t="shared" si="74"/>
        <v>316.57859999999999</v>
      </c>
      <c r="Q351" s="190">
        <f t="shared" si="74"/>
        <v>0.2964</v>
      </c>
      <c r="R351" s="190">
        <f t="shared" si="74"/>
        <v>531.97670190274835</v>
      </c>
      <c r="S351" s="190">
        <f t="shared" si="74"/>
        <v>10.976486486486486</v>
      </c>
    </row>
    <row r="352" spans="1:19">
      <c r="A352" s="405" t="s">
        <v>242</v>
      </c>
      <c r="B352" s="405"/>
      <c r="C352" s="405"/>
      <c r="D352" s="405"/>
      <c r="E352" s="310">
        <v>90</v>
      </c>
      <c r="F352" s="310">
        <v>92</v>
      </c>
      <c r="G352" s="310">
        <v>383</v>
      </c>
      <c r="H352" s="310">
        <v>2720</v>
      </c>
      <c r="I352" s="310">
        <v>1.4</v>
      </c>
      <c r="J352" s="310">
        <v>1.6</v>
      </c>
      <c r="K352" s="310">
        <v>70</v>
      </c>
      <c r="L352" s="310">
        <v>0.9</v>
      </c>
      <c r="M352" s="310">
        <v>12</v>
      </c>
      <c r="N352" s="310">
        <v>1200</v>
      </c>
      <c r="O352" s="310">
        <v>1200</v>
      </c>
      <c r="P352" s="310">
        <v>14</v>
      </c>
      <c r="Q352" s="310">
        <v>0.1</v>
      </c>
      <c r="R352" s="310">
        <v>300</v>
      </c>
      <c r="S352" s="310">
        <v>18</v>
      </c>
    </row>
    <row r="353" spans="1:19">
      <c r="A353" s="405" t="s">
        <v>226</v>
      </c>
      <c r="B353" s="405"/>
      <c r="C353" s="405"/>
      <c r="D353" s="405"/>
      <c r="E353" s="174">
        <f>E351/E352</f>
        <v>0.40203417721518975</v>
      </c>
      <c r="F353" s="174">
        <f t="shared" ref="F353:S353" si="75">F351/F352</f>
        <v>0.88308012935680902</v>
      </c>
      <c r="G353" s="174">
        <f t="shared" si="75"/>
        <v>0.19724918657432283</v>
      </c>
      <c r="H353" s="174">
        <f t="shared" si="75"/>
        <v>0.30318670603732645</v>
      </c>
      <c r="I353" s="174">
        <f t="shared" si="75"/>
        <v>0.58396428571428571</v>
      </c>
      <c r="J353" s="174">
        <f t="shared" si="75"/>
        <v>1.2857916666666664</v>
      </c>
      <c r="K353" s="174">
        <f t="shared" si="75"/>
        <v>1.9130563909774436</v>
      </c>
      <c r="L353" s="174">
        <f t="shared" si="75"/>
        <v>0.42291111111111118</v>
      </c>
      <c r="M353" s="174">
        <f t="shared" si="75"/>
        <v>0.23008333333333333</v>
      </c>
      <c r="N353" s="174">
        <f t="shared" si="75"/>
        <v>1.9577887252970918</v>
      </c>
      <c r="O353" s="174">
        <f t="shared" si="75"/>
        <v>2.6389438900785152</v>
      </c>
      <c r="P353" s="174">
        <f t="shared" si="75"/>
        <v>22.612757142857141</v>
      </c>
      <c r="Q353" s="174">
        <f t="shared" si="75"/>
        <v>2.964</v>
      </c>
      <c r="R353" s="174">
        <f t="shared" si="75"/>
        <v>1.7732556730091611</v>
      </c>
      <c r="S353" s="174">
        <f t="shared" si="75"/>
        <v>0.60980480480480481</v>
      </c>
    </row>
    <row r="354" spans="1:19">
      <c r="A354" s="405" t="s">
        <v>296</v>
      </c>
      <c r="B354" s="405"/>
      <c r="C354" s="405"/>
      <c r="D354" s="405"/>
      <c r="E354" s="190">
        <f t="shared" ref="E354:S354" si="76">(E204+E238+E271+E307+E341)/5</f>
        <v>8.8200000000000021</v>
      </c>
      <c r="F354" s="190">
        <f t="shared" si="76"/>
        <v>6.3660000000000005</v>
      </c>
      <c r="G354" s="190">
        <f t="shared" si="76"/>
        <v>28.340000000000003</v>
      </c>
      <c r="H354" s="190">
        <f t="shared" si="76"/>
        <v>206.14400000000001</v>
      </c>
      <c r="I354" s="190">
        <f t="shared" si="76"/>
        <v>0.12000000000000002</v>
      </c>
      <c r="J354" s="190">
        <f t="shared" si="76"/>
        <v>7.1999999999999995E-2</v>
      </c>
      <c r="K354" s="190">
        <f t="shared" si="76"/>
        <v>4.0840000000000005</v>
      </c>
      <c r="L354" s="190">
        <f t="shared" si="76"/>
        <v>1.8200000000000001E-2</v>
      </c>
      <c r="M354" s="190">
        <f t="shared" si="76"/>
        <v>1.3868</v>
      </c>
      <c r="N354" s="190">
        <f t="shared" si="76"/>
        <v>35.833999999999996</v>
      </c>
      <c r="O354" s="190">
        <f t="shared" si="76"/>
        <v>103.98400000000001</v>
      </c>
      <c r="P354" s="190">
        <f t="shared" si="76"/>
        <v>0.69120000000000004</v>
      </c>
      <c r="Q354" s="190">
        <f t="shared" si="76"/>
        <v>8.94E-3</v>
      </c>
      <c r="R354" s="190">
        <f t="shared" si="76"/>
        <v>40.256</v>
      </c>
      <c r="S354" s="190">
        <f t="shared" si="76"/>
        <v>1.8180000000000001</v>
      </c>
    </row>
    <row r="355" spans="1:19">
      <c r="A355" s="405" t="s">
        <v>242</v>
      </c>
      <c r="B355" s="405"/>
      <c r="C355" s="405"/>
      <c r="D355" s="405"/>
      <c r="E355" s="310">
        <v>90</v>
      </c>
      <c r="F355" s="310">
        <v>92</v>
      </c>
      <c r="G355" s="310">
        <v>383</v>
      </c>
      <c r="H355" s="310">
        <v>2720</v>
      </c>
      <c r="I355" s="310">
        <v>1.4</v>
      </c>
      <c r="J355" s="310">
        <v>1.6</v>
      </c>
      <c r="K355" s="310">
        <v>70</v>
      </c>
      <c r="L355" s="310">
        <v>0.9</v>
      </c>
      <c r="M355" s="310">
        <v>12</v>
      </c>
      <c r="N355" s="310">
        <v>1200</v>
      </c>
      <c r="O355" s="310">
        <v>1200</v>
      </c>
      <c r="P355" s="310">
        <v>14</v>
      </c>
      <c r="Q355" s="310">
        <v>0.1</v>
      </c>
      <c r="R355" s="310">
        <v>300</v>
      </c>
      <c r="S355" s="310">
        <v>18</v>
      </c>
    </row>
    <row r="356" spans="1:19">
      <c r="A356" s="405" t="s">
        <v>226</v>
      </c>
      <c r="B356" s="405"/>
      <c r="C356" s="405"/>
      <c r="D356" s="405"/>
      <c r="E356" s="174">
        <f>E354/E355</f>
        <v>9.8000000000000018E-2</v>
      </c>
      <c r="F356" s="174">
        <f t="shared" ref="F356:S356" si="77">F354/F355</f>
        <v>6.9195652173913047E-2</v>
      </c>
      <c r="G356" s="174">
        <f t="shared" si="77"/>
        <v>7.3994778067885125E-2</v>
      </c>
      <c r="H356" s="174">
        <f t="shared" si="77"/>
        <v>7.5788235294117642E-2</v>
      </c>
      <c r="I356" s="174">
        <f t="shared" si="77"/>
        <v>8.5714285714285743E-2</v>
      </c>
      <c r="J356" s="174">
        <f t="shared" si="77"/>
        <v>4.4999999999999991E-2</v>
      </c>
      <c r="K356" s="174">
        <f t="shared" si="77"/>
        <v>5.8342857142857148E-2</v>
      </c>
      <c r="L356" s="174">
        <f t="shared" si="77"/>
        <v>2.0222222222222221E-2</v>
      </c>
      <c r="M356" s="174">
        <f t="shared" si="77"/>
        <v>0.11556666666666666</v>
      </c>
      <c r="N356" s="174">
        <f t="shared" si="77"/>
        <v>2.9861666666666665E-2</v>
      </c>
      <c r="O356" s="174">
        <f t="shared" si="77"/>
        <v>8.6653333333333346E-2</v>
      </c>
      <c r="P356" s="174">
        <f t="shared" si="77"/>
        <v>4.9371428571428573E-2</v>
      </c>
      <c r="Q356" s="174">
        <f t="shared" si="77"/>
        <v>8.9399999999999993E-2</v>
      </c>
      <c r="R356" s="174">
        <f t="shared" si="77"/>
        <v>0.13418666666666668</v>
      </c>
      <c r="S356" s="174">
        <f t="shared" si="77"/>
        <v>0.10100000000000001</v>
      </c>
    </row>
    <row r="357" spans="1:19">
      <c r="A357" s="405" t="s">
        <v>297</v>
      </c>
      <c r="B357" s="405"/>
      <c r="C357" s="405"/>
      <c r="D357" s="405"/>
      <c r="E357" s="190">
        <f t="shared" ref="E357:S357" si="78">(E209+E243+E276+E312+E346)/5</f>
        <v>29.570000000000004</v>
      </c>
      <c r="F357" s="190">
        <f t="shared" si="78"/>
        <v>25.261999999999997</v>
      </c>
      <c r="G357" s="190">
        <f t="shared" si="78"/>
        <v>140.23400000000001</v>
      </c>
      <c r="H357" s="190">
        <f t="shared" si="78"/>
        <v>904.82800000000009</v>
      </c>
      <c r="I357" s="190">
        <f t="shared" si="78"/>
        <v>0.55740000000000001</v>
      </c>
      <c r="J357" s="190">
        <f t="shared" si="78"/>
        <v>0.42860000000000004</v>
      </c>
      <c r="K357" s="190">
        <f t="shared" si="78"/>
        <v>21.944399999999998</v>
      </c>
      <c r="L357" s="190">
        <f t="shared" si="78"/>
        <v>0.40844000000000003</v>
      </c>
      <c r="M357" s="190">
        <f t="shared" si="78"/>
        <v>2.4208000000000003</v>
      </c>
      <c r="N357" s="190">
        <f t="shared" si="78"/>
        <v>192.28399999999996</v>
      </c>
      <c r="O357" s="190">
        <f t="shared" si="78"/>
        <v>353.03200000000004</v>
      </c>
      <c r="P357" s="190">
        <f t="shared" si="78"/>
        <v>2.8814000000000002</v>
      </c>
      <c r="Q357" s="190">
        <f t="shared" si="78"/>
        <v>3.0599999999999999E-2</v>
      </c>
      <c r="R357" s="190">
        <f t="shared" si="78"/>
        <v>97.262</v>
      </c>
      <c r="S357" s="190">
        <f t="shared" si="78"/>
        <v>6.0679999999999996</v>
      </c>
    </row>
    <row r="358" spans="1:19">
      <c r="A358" s="405" t="s">
        <v>242</v>
      </c>
      <c r="B358" s="405"/>
      <c r="C358" s="405"/>
      <c r="D358" s="405"/>
      <c r="E358" s="310">
        <v>90</v>
      </c>
      <c r="F358" s="310">
        <v>92</v>
      </c>
      <c r="G358" s="310">
        <v>383</v>
      </c>
      <c r="H358" s="310">
        <v>2720</v>
      </c>
      <c r="I358" s="310">
        <v>1.4</v>
      </c>
      <c r="J358" s="310">
        <v>1.6</v>
      </c>
      <c r="K358" s="310">
        <v>70</v>
      </c>
      <c r="L358" s="310">
        <v>0.9</v>
      </c>
      <c r="M358" s="310">
        <v>12</v>
      </c>
      <c r="N358" s="310">
        <v>1200</v>
      </c>
      <c r="O358" s="310">
        <v>1200</v>
      </c>
      <c r="P358" s="310">
        <v>14</v>
      </c>
      <c r="Q358" s="310">
        <v>0.1</v>
      </c>
      <c r="R358" s="310">
        <v>300</v>
      </c>
      <c r="S358" s="310">
        <v>18</v>
      </c>
    </row>
    <row r="359" spans="1:19">
      <c r="A359" s="405" t="s">
        <v>226</v>
      </c>
      <c r="B359" s="405"/>
      <c r="C359" s="405"/>
      <c r="D359" s="405"/>
      <c r="E359" s="174">
        <f>E357/E358</f>
        <v>0.3285555555555556</v>
      </c>
      <c r="F359" s="174">
        <f t="shared" ref="F359:S359" si="79">F357/F358</f>
        <v>0.27458695652173909</v>
      </c>
      <c r="G359" s="174">
        <f t="shared" si="79"/>
        <v>0.36614621409921672</v>
      </c>
      <c r="H359" s="174">
        <f t="shared" si="79"/>
        <v>0.33265735294117649</v>
      </c>
      <c r="I359" s="174">
        <f t="shared" si="79"/>
        <v>0.39814285714285719</v>
      </c>
      <c r="J359" s="174">
        <f t="shared" si="79"/>
        <v>0.26787500000000003</v>
      </c>
      <c r="K359" s="174">
        <f t="shared" si="79"/>
        <v>0.31349142857142853</v>
      </c>
      <c r="L359" s="174">
        <f t="shared" si="79"/>
        <v>0.45382222222222224</v>
      </c>
      <c r="M359" s="174">
        <f t="shared" si="79"/>
        <v>0.20173333333333335</v>
      </c>
      <c r="N359" s="174">
        <f t="shared" si="79"/>
        <v>0.16023666666666664</v>
      </c>
      <c r="O359" s="174">
        <f t="shared" si="79"/>
        <v>0.29419333333333336</v>
      </c>
      <c r="P359" s="174">
        <f t="shared" si="79"/>
        <v>0.20581428571428573</v>
      </c>
      <c r="Q359" s="174">
        <f t="shared" si="79"/>
        <v>0.30599999999999999</v>
      </c>
      <c r="R359" s="174">
        <f t="shared" si="79"/>
        <v>0.32420666666666664</v>
      </c>
      <c r="S359" s="174">
        <f t="shared" si="79"/>
        <v>0.33711111111111108</v>
      </c>
    </row>
    <row r="360" spans="1:19">
      <c r="A360" s="405" t="s">
        <v>328</v>
      </c>
      <c r="B360" s="405"/>
      <c r="C360" s="405"/>
      <c r="D360" s="405"/>
      <c r="E360" s="190">
        <f>E351+E354+E357</f>
        <v>74.57307594936708</v>
      </c>
      <c r="F360" s="190">
        <f t="shared" ref="F360:S360" si="80">F351+F354+F357</f>
        <v>112.87137190082643</v>
      </c>
      <c r="G360" s="190">
        <f t="shared" si="80"/>
        <v>244.12043845796566</v>
      </c>
      <c r="H360" s="190">
        <f t="shared" si="80"/>
        <v>1935.6398404215279</v>
      </c>
      <c r="I360" s="190">
        <f t="shared" si="80"/>
        <v>1.49495</v>
      </c>
      <c r="J360" s="190">
        <f t="shared" si="80"/>
        <v>2.5578666666666665</v>
      </c>
      <c r="K360" s="190">
        <f t="shared" si="80"/>
        <v>159.94234736842105</v>
      </c>
      <c r="L360" s="190">
        <f t="shared" si="80"/>
        <v>0.80726000000000009</v>
      </c>
      <c r="M360" s="190">
        <f t="shared" si="80"/>
        <v>6.5686</v>
      </c>
      <c r="N360" s="190">
        <f t="shared" si="80"/>
        <v>2577.46447035651</v>
      </c>
      <c r="O360" s="190">
        <f t="shared" si="80"/>
        <v>3623.7486680942184</v>
      </c>
      <c r="P360" s="190">
        <f t="shared" si="80"/>
        <v>320.15119999999996</v>
      </c>
      <c r="Q360" s="190">
        <f t="shared" si="80"/>
        <v>0.33594000000000002</v>
      </c>
      <c r="R360" s="190">
        <f t="shared" si="80"/>
        <v>669.49470190274837</v>
      </c>
      <c r="S360" s="190">
        <f t="shared" si="80"/>
        <v>18.862486486486485</v>
      </c>
    </row>
    <row r="361" spans="1:19">
      <c r="A361" s="405" t="s">
        <v>242</v>
      </c>
      <c r="B361" s="405"/>
      <c r="C361" s="405"/>
      <c r="D361" s="405"/>
      <c r="E361" s="310">
        <v>90</v>
      </c>
      <c r="F361" s="310">
        <v>92</v>
      </c>
      <c r="G361" s="310">
        <v>383</v>
      </c>
      <c r="H361" s="310">
        <v>2720</v>
      </c>
      <c r="I361" s="310">
        <v>1.4</v>
      </c>
      <c r="J361" s="310">
        <v>1.6</v>
      </c>
      <c r="K361" s="310">
        <v>70</v>
      </c>
      <c r="L361" s="310">
        <v>0.9</v>
      </c>
      <c r="M361" s="310">
        <v>12</v>
      </c>
      <c r="N361" s="310">
        <v>1200</v>
      </c>
      <c r="O361" s="310">
        <v>1200</v>
      </c>
      <c r="P361" s="310">
        <v>14</v>
      </c>
      <c r="Q361" s="310">
        <v>0.1</v>
      </c>
      <c r="R361" s="310">
        <v>300</v>
      </c>
      <c r="S361" s="310">
        <v>18</v>
      </c>
    </row>
    <row r="362" spans="1:19">
      <c r="A362" s="405" t="s">
        <v>226</v>
      </c>
      <c r="B362" s="405"/>
      <c r="C362" s="405"/>
      <c r="D362" s="405"/>
      <c r="E362" s="174">
        <f>E360/E361</f>
        <v>0.82858973277074532</v>
      </c>
      <c r="F362" s="174">
        <f t="shared" ref="F362:S362" si="81">F360/F361</f>
        <v>1.2268627380524613</v>
      </c>
      <c r="G362" s="174">
        <f t="shared" si="81"/>
        <v>0.63739017874142467</v>
      </c>
      <c r="H362" s="174">
        <f t="shared" si="81"/>
        <v>0.71163229427262054</v>
      </c>
      <c r="I362" s="174">
        <f t="shared" si="81"/>
        <v>1.0678214285714287</v>
      </c>
      <c r="J362" s="174">
        <f t="shared" si="81"/>
        <v>1.5986666666666665</v>
      </c>
      <c r="K362" s="174">
        <f t="shared" si="81"/>
        <v>2.2848906766917292</v>
      </c>
      <c r="L362" s="174">
        <f t="shared" si="81"/>
        <v>0.89695555555555562</v>
      </c>
      <c r="M362" s="174">
        <f t="shared" si="81"/>
        <v>0.54738333333333333</v>
      </c>
      <c r="N362" s="174">
        <f t="shared" si="81"/>
        <v>2.1478870586304248</v>
      </c>
      <c r="O362" s="174">
        <f t="shared" si="81"/>
        <v>3.0197905567451819</v>
      </c>
      <c r="P362" s="174">
        <f t="shared" si="81"/>
        <v>22.867942857142854</v>
      </c>
      <c r="Q362" s="174">
        <f t="shared" si="81"/>
        <v>3.3593999999999999</v>
      </c>
      <c r="R362" s="174">
        <f t="shared" si="81"/>
        <v>2.2316490063424945</v>
      </c>
      <c r="S362" s="174">
        <f t="shared" si="81"/>
        <v>1.0479159159159159</v>
      </c>
    </row>
  </sheetData>
  <mergeCells count="432">
    <mergeCell ref="A361:D361"/>
    <mergeCell ref="A362:D362"/>
    <mergeCell ref="A352:D352"/>
    <mergeCell ref="A353:D353"/>
    <mergeCell ref="A354:D354"/>
    <mergeCell ref="A355:D355"/>
    <mergeCell ref="A356:D356"/>
    <mergeCell ref="A357:D357"/>
    <mergeCell ref="A358:D358"/>
    <mergeCell ref="A359:D359"/>
    <mergeCell ref="A360:D360"/>
    <mergeCell ref="A350:D350"/>
    <mergeCell ref="A351:D351"/>
    <mergeCell ref="B329:C329"/>
    <mergeCell ref="B330:C330"/>
    <mergeCell ref="B331:C331"/>
    <mergeCell ref="A332:C332"/>
    <mergeCell ref="A333:D333"/>
    <mergeCell ref="A344:S344"/>
    <mergeCell ref="B345:C345"/>
    <mergeCell ref="B346:C346"/>
    <mergeCell ref="A347:C347"/>
    <mergeCell ref="A348:D348"/>
    <mergeCell ref="A349:D349"/>
    <mergeCell ref="B338:C338"/>
    <mergeCell ref="B339:C339"/>
    <mergeCell ref="B340:C340"/>
    <mergeCell ref="B341:C341"/>
    <mergeCell ref="A342:C342"/>
    <mergeCell ref="A343:D343"/>
    <mergeCell ref="B337:C337"/>
    <mergeCell ref="B323:C323"/>
    <mergeCell ref="A324:S324"/>
    <mergeCell ref="B325:C325"/>
    <mergeCell ref="B326:C326"/>
    <mergeCell ref="B327:C327"/>
    <mergeCell ref="B328:C328"/>
    <mergeCell ref="D320:E320"/>
    <mergeCell ref="K320:L320"/>
    <mergeCell ref="M320:S320"/>
    <mergeCell ref="B321:C322"/>
    <mergeCell ref="D321:D322"/>
    <mergeCell ref="E321:G321"/>
    <mergeCell ref="I321:M321"/>
    <mergeCell ref="N321:S321"/>
    <mergeCell ref="A313:D313"/>
    <mergeCell ref="A314:D314"/>
    <mergeCell ref="A315:D315"/>
    <mergeCell ref="A316:D316"/>
    <mergeCell ref="A318:S318"/>
    <mergeCell ref="A319:B319"/>
    <mergeCell ref="F319:H319"/>
    <mergeCell ref="K319:L319"/>
    <mergeCell ref="M319:P319"/>
    <mergeCell ref="A307:C307"/>
    <mergeCell ref="A308:D308"/>
    <mergeCell ref="A309:S309"/>
    <mergeCell ref="B310:C310"/>
    <mergeCell ref="B311:C311"/>
    <mergeCell ref="A312:C312"/>
    <mergeCell ref="B301:C301"/>
    <mergeCell ref="B302:C302"/>
    <mergeCell ref="B303:C303"/>
    <mergeCell ref="B304:C304"/>
    <mergeCell ref="B305:C305"/>
    <mergeCell ref="B306:C306"/>
    <mergeCell ref="B295:C295"/>
    <mergeCell ref="B296:C296"/>
    <mergeCell ref="A297:C297"/>
    <mergeCell ref="A298:D298"/>
    <mergeCell ref="A299:S299"/>
    <mergeCell ref="B300:C300"/>
    <mergeCell ref="B289:C289"/>
    <mergeCell ref="A290:S290"/>
    <mergeCell ref="B291:C291"/>
    <mergeCell ref="B292:C292"/>
    <mergeCell ref="B293:C293"/>
    <mergeCell ref="B294:C294"/>
    <mergeCell ref="D286:E286"/>
    <mergeCell ref="K286:L286"/>
    <mergeCell ref="M286:S286"/>
    <mergeCell ref="B287:C288"/>
    <mergeCell ref="D287:D288"/>
    <mergeCell ref="E287:G287"/>
    <mergeCell ref="I287:M287"/>
    <mergeCell ref="N287:S287"/>
    <mergeCell ref="A278:D278"/>
    <mergeCell ref="A279:D279"/>
    <mergeCell ref="A280:D280"/>
    <mergeCell ref="L283:S283"/>
    <mergeCell ref="A284:S284"/>
    <mergeCell ref="A285:B285"/>
    <mergeCell ref="F285:H285"/>
    <mergeCell ref="K285:L285"/>
    <mergeCell ref="M285:P285"/>
    <mergeCell ref="A277:D277"/>
    <mergeCell ref="B266:C266"/>
    <mergeCell ref="B267:C267"/>
    <mergeCell ref="B268:C268"/>
    <mergeCell ref="A269:C269"/>
    <mergeCell ref="A270:D270"/>
    <mergeCell ref="A271:S271"/>
    <mergeCell ref="B272:C272"/>
    <mergeCell ref="B273:C273"/>
    <mergeCell ref="A274:C274"/>
    <mergeCell ref="A275:D275"/>
    <mergeCell ref="A276:D276"/>
    <mergeCell ref="B263:C263"/>
    <mergeCell ref="B264:C264"/>
    <mergeCell ref="B265:C265"/>
    <mergeCell ref="A254:S254"/>
    <mergeCell ref="B255:C255"/>
    <mergeCell ref="B256:C256"/>
    <mergeCell ref="B257:C257"/>
    <mergeCell ref="B258:C258"/>
    <mergeCell ref="A259:C259"/>
    <mergeCell ref="A260:D260"/>
    <mergeCell ref="A261:S261"/>
    <mergeCell ref="B262:C262"/>
    <mergeCell ref="B251:C252"/>
    <mergeCell ref="D251:D252"/>
    <mergeCell ref="E251:G251"/>
    <mergeCell ref="I251:M251"/>
    <mergeCell ref="N251:S251"/>
    <mergeCell ref="B253:C253"/>
    <mergeCell ref="A248:S248"/>
    <mergeCell ref="A249:B249"/>
    <mergeCell ref="F249:H249"/>
    <mergeCell ref="K249:L249"/>
    <mergeCell ref="M249:P249"/>
    <mergeCell ref="D250:E250"/>
    <mergeCell ref="K250:L250"/>
    <mergeCell ref="M250:S250"/>
    <mergeCell ref="A242:D242"/>
    <mergeCell ref="A243:D243"/>
    <mergeCell ref="A244:D244"/>
    <mergeCell ref="A245:D245"/>
    <mergeCell ref="A246:I246"/>
    <mergeCell ref="L246:S246"/>
    <mergeCell ref="A236:C236"/>
    <mergeCell ref="A237:D237"/>
    <mergeCell ref="A238:S238"/>
    <mergeCell ref="B239:C239"/>
    <mergeCell ref="B240:C240"/>
    <mergeCell ref="A241:C241"/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A226:C226"/>
    <mergeCell ref="A227:D227"/>
    <mergeCell ref="A228:S228"/>
    <mergeCell ref="B229:C229"/>
    <mergeCell ref="B218:C218"/>
    <mergeCell ref="A219:S219"/>
    <mergeCell ref="B220:C220"/>
    <mergeCell ref="B221:C221"/>
    <mergeCell ref="B222:C222"/>
    <mergeCell ref="B223:C223"/>
    <mergeCell ref="D215:E215"/>
    <mergeCell ref="K215:L215"/>
    <mergeCell ref="M215:S215"/>
    <mergeCell ref="B216:C217"/>
    <mergeCell ref="D216:D217"/>
    <mergeCell ref="E216:G216"/>
    <mergeCell ref="I216:M216"/>
    <mergeCell ref="N216:S216"/>
    <mergeCell ref="B198:C198"/>
    <mergeCell ref="A193:D193"/>
    <mergeCell ref="A194:S194"/>
    <mergeCell ref="B200:C200"/>
    <mergeCell ref="B201:C201"/>
    <mergeCell ref="L212:S212"/>
    <mergeCell ref="A213:S213"/>
    <mergeCell ref="A214:B214"/>
    <mergeCell ref="F214:H214"/>
    <mergeCell ref="K214:L214"/>
    <mergeCell ref="M214:P214"/>
    <mergeCell ref="A208:D208"/>
    <mergeCell ref="A209:D209"/>
    <mergeCell ref="B205:C205"/>
    <mergeCell ref="B206:C206"/>
    <mergeCell ref="A207:C207"/>
    <mergeCell ref="A210:D210"/>
    <mergeCell ref="A211:D211"/>
    <mergeCell ref="B202:C202"/>
    <mergeCell ref="A203:C203"/>
    <mergeCell ref="A204:S204"/>
    <mergeCell ref="B184:C184"/>
    <mergeCell ref="A185:S185"/>
    <mergeCell ref="B187:C187"/>
    <mergeCell ref="B188:C188"/>
    <mergeCell ref="B189:C189"/>
    <mergeCell ref="D181:E181"/>
    <mergeCell ref="K181:L181"/>
    <mergeCell ref="M181:S181"/>
    <mergeCell ref="B182:C183"/>
    <mergeCell ref="D182:D183"/>
    <mergeCell ref="E182:G182"/>
    <mergeCell ref="I182:M182"/>
    <mergeCell ref="N182:S182"/>
    <mergeCell ref="A186:S186"/>
    <mergeCell ref="B190:C190"/>
    <mergeCell ref="B191:C191"/>
    <mergeCell ref="A192:C192"/>
    <mergeCell ref="B199:C199"/>
    <mergeCell ref="B195:C195"/>
    <mergeCell ref="B196:C196"/>
    <mergeCell ref="B197:C197"/>
    <mergeCell ref="A175:D175"/>
    <mergeCell ref="A176:D176"/>
    <mergeCell ref="A179:S179"/>
    <mergeCell ref="A180:B180"/>
    <mergeCell ref="F180:H180"/>
    <mergeCell ref="K180:L180"/>
    <mergeCell ref="M180:P180"/>
    <mergeCell ref="A169:S169"/>
    <mergeCell ref="B170:C170"/>
    <mergeCell ref="B171:C171"/>
    <mergeCell ref="A172:C172"/>
    <mergeCell ref="A173:D173"/>
    <mergeCell ref="A174:D174"/>
    <mergeCell ref="B163:C163"/>
    <mergeCell ref="B164:C164"/>
    <mergeCell ref="B165:C165"/>
    <mergeCell ref="B166:C166"/>
    <mergeCell ref="A167:C167"/>
    <mergeCell ref="A168:D168"/>
    <mergeCell ref="A157:C157"/>
    <mergeCell ref="A158:D158"/>
    <mergeCell ref="A159:S159"/>
    <mergeCell ref="B160:C160"/>
    <mergeCell ref="B161:C161"/>
    <mergeCell ref="B162:C162"/>
    <mergeCell ref="A151:S151"/>
    <mergeCell ref="B152:C152"/>
    <mergeCell ref="B153:C153"/>
    <mergeCell ref="B154:C154"/>
    <mergeCell ref="B155:C155"/>
    <mergeCell ref="B156:C156"/>
    <mergeCell ref="B148:C149"/>
    <mergeCell ref="D148:D149"/>
    <mergeCell ref="E148:G148"/>
    <mergeCell ref="I148:M148"/>
    <mergeCell ref="N148:S148"/>
    <mergeCell ref="B150:C150"/>
    <mergeCell ref="A145:S145"/>
    <mergeCell ref="A146:B146"/>
    <mergeCell ref="F146:H146"/>
    <mergeCell ref="K146:L146"/>
    <mergeCell ref="M146:P146"/>
    <mergeCell ref="D147:E147"/>
    <mergeCell ref="K147:L147"/>
    <mergeCell ref="M147:S147"/>
    <mergeCell ref="A135:D135"/>
    <mergeCell ref="A136:D136"/>
    <mergeCell ref="A137:D137"/>
    <mergeCell ref="A138:D138"/>
    <mergeCell ref="A139:D139"/>
    <mergeCell ref="L144:S144"/>
    <mergeCell ref="A129:C129"/>
    <mergeCell ref="A130:D130"/>
    <mergeCell ref="A131:S131"/>
    <mergeCell ref="B132:C132"/>
    <mergeCell ref="B133:C133"/>
    <mergeCell ref="A134:C134"/>
    <mergeCell ref="B123:C123"/>
    <mergeCell ref="B124:C124"/>
    <mergeCell ref="B125:C125"/>
    <mergeCell ref="B126:C126"/>
    <mergeCell ref="B127:C127"/>
    <mergeCell ref="B128:C128"/>
    <mergeCell ref="B117:C117"/>
    <mergeCell ref="B118:C118"/>
    <mergeCell ref="A119:C119"/>
    <mergeCell ref="A120:D120"/>
    <mergeCell ref="A121:S121"/>
    <mergeCell ref="B122:C122"/>
    <mergeCell ref="B111:C111"/>
    <mergeCell ref="A112:S112"/>
    <mergeCell ref="B113:C113"/>
    <mergeCell ref="B114:C114"/>
    <mergeCell ref="B115:C115"/>
    <mergeCell ref="B116:C116"/>
    <mergeCell ref="D108:E108"/>
    <mergeCell ref="K108:L108"/>
    <mergeCell ref="M108:S108"/>
    <mergeCell ref="B109:C110"/>
    <mergeCell ref="D109:D110"/>
    <mergeCell ref="E109:G109"/>
    <mergeCell ref="I109:M109"/>
    <mergeCell ref="N109:S109"/>
    <mergeCell ref="A103:D103"/>
    <mergeCell ref="A104:D104"/>
    <mergeCell ref="A106:S106"/>
    <mergeCell ref="A107:B107"/>
    <mergeCell ref="F107:H107"/>
    <mergeCell ref="K107:L107"/>
    <mergeCell ref="M107:P107"/>
    <mergeCell ref="A96:D96"/>
    <mergeCell ref="A97:S97"/>
    <mergeCell ref="B98:C98"/>
    <mergeCell ref="B99:C99"/>
    <mergeCell ref="A101:D101"/>
    <mergeCell ref="A102:D102"/>
    <mergeCell ref="B90:C90"/>
    <mergeCell ref="B91:C91"/>
    <mergeCell ref="B92:C92"/>
    <mergeCell ref="B93:C93"/>
    <mergeCell ref="B94:C94"/>
    <mergeCell ref="A95:C95"/>
    <mergeCell ref="B84:C84"/>
    <mergeCell ref="A85:C85"/>
    <mergeCell ref="A86:D86"/>
    <mergeCell ref="A87:S87"/>
    <mergeCell ref="B88:C88"/>
    <mergeCell ref="B89:C89"/>
    <mergeCell ref="A78:S78"/>
    <mergeCell ref="B79:C79"/>
    <mergeCell ref="B80:C80"/>
    <mergeCell ref="B81:C81"/>
    <mergeCell ref="B82:C82"/>
    <mergeCell ref="B83:C83"/>
    <mergeCell ref="B75:C76"/>
    <mergeCell ref="D75:D76"/>
    <mergeCell ref="E75:G75"/>
    <mergeCell ref="I75:M75"/>
    <mergeCell ref="N75:S75"/>
    <mergeCell ref="B77:C77"/>
    <mergeCell ref="A73:B73"/>
    <mergeCell ref="F73:H73"/>
    <mergeCell ref="K73:L73"/>
    <mergeCell ref="M73:P73"/>
    <mergeCell ref="D74:E74"/>
    <mergeCell ref="K74:L74"/>
    <mergeCell ref="M74:S74"/>
    <mergeCell ref="A68:D68"/>
    <mergeCell ref="A69:D69"/>
    <mergeCell ref="L71:S71"/>
    <mergeCell ref="A72:S72"/>
    <mergeCell ref="B63:C63"/>
    <mergeCell ref="A60:D60"/>
    <mergeCell ref="A61:S61"/>
    <mergeCell ref="B62:C62"/>
    <mergeCell ref="A64:C64"/>
    <mergeCell ref="A65:D65"/>
    <mergeCell ref="B58:C58"/>
    <mergeCell ref="B48:C48"/>
    <mergeCell ref="B52:C52"/>
    <mergeCell ref="B53:C53"/>
    <mergeCell ref="B49:C49"/>
    <mergeCell ref="A50:C50"/>
    <mergeCell ref="A51:D51"/>
    <mergeCell ref="A66:D66"/>
    <mergeCell ref="A67:D67"/>
    <mergeCell ref="B25:C25"/>
    <mergeCell ref="A26:C26"/>
    <mergeCell ref="A27:D27"/>
    <mergeCell ref="A28:S28"/>
    <mergeCell ref="B30:C30"/>
    <mergeCell ref="A31:C31"/>
    <mergeCell ref="A35:D35"/>
    <mergeCell ref="A59:C59"/>
    <mergeCell ref="B42:C42"/>
    <mergeCell ref="A43:S43"/>
    <mergeCell ref="B44:C44"/>
    <mergeCell ref="B45:C45"/>
    <mergeCell ref="B46:C46"/>
    <mergeCell ref="B47:C47"/>
    <mergeCell ref="A40:A41"/>
    <mergeCell ref="B40:C41"/>
    <mergeCell ref="D40:D41"/>
    <mergeCell ref="E40:G40"/>
    <mergeCell ref="I40:M40"/>
    <mergeCell ref="N40:S40"/>
    <mergeCell ref="B54:C54"/>
    <mergeCell ref="B55:C55"/>
    <mergeCell ref="B56:C56"/>
    <mergeCell ref="B57:C57"/>
    <mergeCell ref="F38:H38"/>
    <mergeCell ref="K38:L38"/>
    <mergeCell ref="M38:P38"/>
    <mergeCell ref="A39:C39"/>
    <mergeCell ref="D39:E39"/>
    <mergeCell ref="K39:L39"/>
    <mergeCell ref="M39:S39"/>
    <mergeCell ref="A32:D32"/>
    <mergeCell ref="A33:D33"/>
    <mergeCell ref="A34:D34"/>
    <mergeCell ref="L36:S36"/>
    <mergeCell ref="A37:S37"/>
    <mergeCell ref="L1:S1"/>
    <mergeCell ref="A2:S2"/>
    <mergeCell ref="A3:B3"/>
    <mergeCell ref="F3:H3"/>
    <mergeCell ref="K3:L3"/>
    <mergeCell ref="M3:P3"/>
    <mergeCell ref="B13:C13"/>
    <mergeCell ref="B7:C7"/>
    <mergeCell ref="A8:S8"/>
    <mergeCell ref="B9:C9"/>
    <mergeCell ref="B10:C10"/>
    <mergeCell ref="B11:C11"/>
    <mergeCell ref="B12:C12"/>
    <mergeCell ref="A14:C14"/>
    <mergeCell ref="A15:D15"/>
    <mergeCell ref="A334:S334"/>
    <mergeCell ref="B335:C335"/>
    <mergeCell ref="B336:C336"/>
    <mergeCell ref="D4:E4"/>
    <mergeCell ref="K4:L4"/>
    <mergeCell ref="M4:S4"/>
    <mergeCell ref="B5:C6"/>
    <mergeCell ref="D5:D6"/>
    <mergeCell ref="E5:G5"/>
    <mergeCell ref="I5:M5"/>
    <mergeCell ref="N5:S5"/>
    <mergeCell ref="A16:D16"/>
    <mergeCell ref="A17:S17"/>
    <mergeCell ref="B18:C18"/>
    <mergeCell ref="B29:C29"/>
    <mergeCell ref="B19:C19"/>
    <mergeCell ref="B20:C20"/>
    <mergeCell ref="B21:C21"/>
    <mergeCell ref="B22:C22"/>
    <mergeCell ref="B23:C23"/>
    <mergeCell ref="B24:C24"/>
    <mergeCell ref="A38:B3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нормы</vt:lpstr>
      <vt:lpstr>расчет сентябрь</vt:lpstr>
      <vt:lpstr>расчет весна</vt:lpstr>
      <vt:lpstr>меню 1-4 класс (2)</vt:lpstr>
      <vt:lpstr>меню 5-11 класс перед</vt:lpstr>
      <vt:lpstr>нормы!_Hlk99779280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NSHCKOLA</cp:lastModifiedBy>
  <cp:lastPrinted>2023-08-29T08:29:24Z</cp:lastPrinted>
  <dcterms:created xsi:type="dcterms:W3CDTF">2015-06-05T18:19:34Z</dcterms:created>
  <dcterms:modified xsi:type="dcterms:W3CDTF">2025-04-09T06:56:31Z</dcterms:modified>
</cp:coreProperties>
</file>