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activeTab="2"/>
  </bookViews>
  <sheets>
    <sheet name="меню" sheetId="3" r:id="rId1"/>
    <sheet name="расчет завтрак" sheetId="2" r:id="rId2"/>
    <sheet name="расчет обед 1-4" sheetId="4" r:id="rId3"/>
    <sheet name="расчет обед 5-11" sheetId="5" r:id="rId4"/>
    <sheet name="норма потребления" sheetId="6" r:id="rId5"/>
  </sheets>
  <calcPr calcId="125725"/>
</workbook>
</file>

<file path=xl/calcChain.xml><?xml version="1.0" encoding="utf-8"?>
<calcChain xmlns="http://schemas.openxmlformats.org/spreadsheetml/2006/main">
  <c r="K102" i="2"/>
  <c r="K99"/>
  <c r="H99"/>
  <c r="K98"/>
  <c r="H98"/>
  <c r="K97"/>
  <c r="H97"/>
  <c r="K96"/>
  <c r="K93" s="1"/>
  <c r="H96"/>
  <c r="K89"/>
  <c r="H89"/>
  <c r="K88"/>
  <c r="H88"/>
  <c r="K87"/>
  <c r="H87"/>
  <c r="K86"/>
  <c r="H86"/>
  <c r="K85"/>
  <c r="H85"/>
  <c r="K84"/>
  <c r="H84"/>
  <c r="K81"/>
  <c r="B81"/>
  <c r="K80"/>
  <c r="K33"/>
  <c r="K30"/>
  <c r="K28" s="1"/>
  <c r="K29"/>
  <c r="K25"/>
  <c r="K24"/>
  <c r="K23"/>
  <c r="K22"/>
  <c r="K21"/>
  <c r="K20"/>
  <c r="K19"/>
  <c r="K18"/>
  <c r="K17"/>
  <c r="K16"/>
  <c r="K14" s="1"/>
  <c r="K15"/>
  <c r="K11"/>
  <c r="K10"/>
  <c r="K7"/>
  <c r="K6"/>
  <c r="K4" s="1"/>
  <c r="K5"/>
  <c r="B5"/>
  <c r="B80" l="1"/>
  <c r="B4"/>
  <c r="L167" i="5" l="1"/>
  <c r="L165"/>
  <c r="L162"/>
  <c r="L161"/>
  <c r="L159" s="1"/>
  <c r="L160"/>
  <c r="L156"/>
  <c r="L155"/>
  <c r="L154"/>
  <c r="L150"/>
  <c r="L149"/>
  <c r="L148"/>
  <c r="L147"/>
  <c r="L146"/>
  <c r="L145"/>
  <c r="L144"/>
  <c r="L143"/>
  <c r="L142"/>
  <c r="L141"/>
  <c r="L138"/>
  <c r="L137"/>
  <c r="L136"/>
  <c r="L135"/>
  <c r="L134"/>
  <c r="L133"/>
  <c r="L132" s="1"/>
  <c r="L129"/>
  <c r="L128"/>
  <c r="L127"/>
  <c r="L126"/>
  <c r="L125"/>
  <c r="L124" s="1"/>
  <c r="G121"/>
  <c r="I121" s="1"/>
  <c r="L120"/>
  <c r="L119"/>
  <c r="L118"/>
  <c r="L66"/>
  <c r="L64"/>
  <c r="L63"/>
  <c r="L61"/>
  <c r="L58"/>
  <c r="L57"/>
  <c r="L56"/>
  <c r="L55"/>
  <c r="L54"/>
  <c r="L51"/>
  <c r="L50"/>
  <c r="L49"/>
  <c r="L48"/>
  <c r="L47"/>
  <c r="L46"/>
  <c r="L45"/>
  <c r="L44"/>
  <c r="L42" s="1"/>
  <c r="L43"/>
  <c r="L40"/>
  <c r="L39"/>
  <c r="L37"/>
  <c r="L36"/>
  <c r="L35"/>
  <c r="L34"/>
  <c r="L33"/>
  <c r="L32"/>
  <c r="L31"/>
  <c r="L30"/>
  <c r="L29"/>
  <c r="L28"/>
  <c r="L27"/>
  <c r="L26"/>
  <c r="L25"/>
  <c r="L24"/>
  <c r="L23" s="1"/>
  <c r="L18"/>
  <c r="L17"/>
  <c r="L16"/>
  <c r="L13" s="1"/>
  <c r="L15"/>
  <c r="L14"/>
  <c r="L11"/>
  <c r="L10"/>
  <c r="L9"/>
  <c r="L8"/>
  <c r="L7"/>
  <c r="L6" s="1"/>
  <c r="L170" i="4"/>
  <c r="L168"/>
  <c r="L165"/>
  <c r="L164"/>
  <c r="L162" s="1"/>
  <c r="L163"/>
  <c r="L159"/>
  <c r="L158"/>
  <c r="L157"/>
  <c r="L156"/>
  <c r="L153"/>
  <c r="L152"/>
  <c r="L151"/>
  <c r="L150"/>
  <c r="L149"/>
  <c r="L148"/>
  <c r="L147"/>
  <c r="L146"/>
  <c r="L144" s="1"/>
  <c r="L145"/>
  <c r="L141"/>
  <c r="L140"/>
  <c r="L139"/>
  <c r="L138"/>
  <c r="L137"/>
  <c r="L136"/>
  <c r="L132"/>
  <c r="L131"/>
  <c r="L130"/>
  <c r="L129"/>
  <c r="L128"/>
  <c r="L127" s="1"/>
  <c r="G124"/>
  <c r="I124" s="1"/>
  <c r="L123"/>
  <c r="L122"/>
  <c r="L121"/>
  <c r="L153" i="5" l="1"/>
  <c r="L121"/>
  <c r="L117" s="1"/>
  <c r="L135" i="4"/>
  <c r="L124"/>
  <c r="L120" s="1"/>
  <c r="L63" l="1"/>
  <c r="L61"/>
  <c r="L58"/>
  <c r="L57"/>
  <c r="L56"/>
  <c r="L55"/>
  <c r="L51"/>
  <c r="L50"/>
  <c r="L49"/>
  <c r="L48"/>
  <c r="L47"/>
  <c r="L46"/>
  <c r="L45"/>
  <c r="L44"/>
  <c r="L43"/>
  <c r="L40"/>
  <c r="L39"/>
  <c r="L37"/>
  <c r="L36"/>
  <c r="L35"/>
  <c r="L34"/>
  <c r="L33"/>
  <c r="L32"/>
  <c r="L31"/>
  <c r="L30"/>
  <c r="L29"/>
  <c r="L28"/>
  <c r="L27"/>
  <c r="L26"/>
  <c r="L25"/>
  <c r="L24"/>
  <c r="L23" s="1"/>
  <c r="L18"/>
  <c r="L17"/>
  <c r="L16"/>
  <c r="L15"/>
  <c r="L14"/>
  <c r="L13" s="1"/>
  <c r="L11"/>
  <c r="L10"/>
  <c r="L9"/>
  <c r="L8"/>
  <c r="L6" s="1"/>
  <c r="L7"/>
  <c r="L508" i="5"/>
  <c r="L506"/>
  <c r="L503"/>
  <c r="L502"/>
  <c r="I498"/>
  <c r="G498"/>
  <c r="L498" s="1"/>
  <c r="I497"/>
  <c r="G497"/>
  <c r="L497" s="1"/>
  <c r="I496"/>
  <c r="G496"/>
  <c r="L496" s="1"/>
  <c r="I495"/>
  <c r="G495"/>
  <c r="L495" s="1"/>
  <c r="L491"/>
  <c r="L490"/>
  <c r="L489"/>
  <c r="L488"/>
  <c r="L487"/>
  <c r="L486"/>
  <c r="L482"/>
  <c r="L480"/>
  <c r="L479"/>
  <c r="L478"/>
  <c r="L477"/>
  <c r="L476"/>
  <c r="L475"/>
  <c r="L474"/>
  <c r="L473"/>
  <c r="L472"/>
  <c r="L471"/>
  <c r="L467"/>
  <c r="L466"/>
  <c r="L465"/>
  <c r="L463"/>
  <c r="L461"/>
  <c r="L459"/>
  <c r="L456"/>
  <c r="L455"/>
  <c r="L454"/>
  <c r="L453"/>
  <c r="L449"/>
  <c r="L448"/>
  <c r="L447"/>
  <c r="L446"/>
  <c r="L445"/>
  <c r="L444"/>
  <c r="L440"/>
  <c r="L439"/>
  <c r="L438"/>
  <c r="L437"/>
  <c r="L436"/>
  <c r="L435"/>
  <c r="L434"/>
  <c r="L433"/>
  <c r="L432"/>
  <c r="L428"/>
  <c r="L427" s="1"/>
  <c r="L425"/>
  <c r="L423"/>
  <c r="G420"/>
  <c r="L420" s="1"/>
  <c r="G419"/>
  <c r="I419" s="1"/>
  <c r="G418"/>
  <c r="L418" s="1"/>
  <c r="G414"/>
  <c r="L414" s="1"/>
  <c r="G413"/>
  <c r="L413" s="1"/>
  <c r="G412"/>
  <c r="L412" s="1"/>
  <c r="G411"/>
  <c r="I411" s="1"/>
  <c r="G410"/>
  <c r="L410" s="1"/>
  <c r="I409"/>
  <c r="G409"/>
  <c r="L409" s="1"/>
  <c r="I408"/>
  <c r="G408"/>
  <c r="L408" s="1"/>
  <c r="G407"/>
  <c r="I407" s="1"/>
  <c r="I406"/>
  <c r="G406"/>
  <c r="L406" s="1"/>
  <c r="L402"/>
  <c r="L401"/>
  <c r="L400"/>
  <c r="L396"/>
  <c r="L395"/>
  <c r="L394"/>
  <c r="L393"/>
  <c r="L392"/>
  <c r="L391"/>
  <c r="L390"/>
  <c r="L389"/>
  <c r="L384"/>
  <c r="L382"/>
  <c r="L379"/>
  <c r="L377"/>
  <c r="L375"/>
  <c r="L373"/>
  <c r="L369"/>
  <c r="L367"/>
  <c r="L365"/>
  <c r="L364"/>
  <c r="L363"/>
  <c r="L362"/>
  <c r="L360"/>
  <c r="L356"/>
  <c r="L355"/>
  <c r="L354"/>
  <c r="L350"/>
  <c r="L349"/>
  <c r="L348"/>
  <c r="L347"/>
  <c r="L346"/>
  <c r="L345"/>
  <c r="L344"/>
  <c r="L343"/>
  <c r="L342"/>
  <c r="L339"/>
  <c r="L337"/>
  <c r="L336"/>
  <c r="L335"/>
  <c r="L334"/>
  <c r="L333"/>
  <c r="L332"/>
  <c r="L331"/>
  <c r="L330"/>
  <c r="L329"/>
  <c r="L328"/>
  <c r="L327"/>
  <c r="L326"/>
  <c r="L325"/>
  <c r="L321"/>
  <c r="L320"/>
  <c r="L319"/>
  <c r="L318"/>
  <c r="L317"/>
  <c r="L314"/>
  <c r="L313"/>
  <c r="L312"/>
  <c r="L311"/>
  <c r="L310"/>
  <c r="L307"/>
  <c r="L305"/>
  <c r="L302"/>
  <c r="L301"/>
  <c r="L300"/>
  <c r="L294"/>
  <c r="L293"/>
  <c r="L292"/>
  <c r="L291"/>
  <c r="L290"/>
  <c r="L289"/>
  <c r="L288"/>
  <c r="L287"/>
  <c r="L283"/>
  <c r="L282"/>
  <c r="L281"/>
  <c r="L280"/>
  <c r="L279"/>
  <c r="L278"/>
  <c r="L277"/>
  <c r="L276"/>
  <c r="L275"/>
  <c r="L274"/>
  <c r="L273"/>
  <c r="L269"/>
  <c r="L268"/>
  <c r="L267"/>
  <c r="L266"/>
  <c r="L265"/>
  <c r="L261"/>
  <c r="L260"/>
  <c r="L259"/>
  <c r="L258"/>
  <c r="L257" s="1"/>
  <c r="L255"/>
  <c r="L253"/>
  <c r="G250"/>
  <c r="L250" s="1"/>
  <c r="G249"/>
  <c r="L249" s="1"/>
  <c r="G248"/>
  <c r="L248" s="1"/>
  <c r="I244"/>
  <c r="G244"/>
  <c r="L244" s="1"/>
  <c r="I243"/>
  <c r="G243"/>
  <c r="L243" s="1"/>
  <c r="I242"/>
  <c r="G242"/>
  <c r="L242" s="1"/>
  <c r="I241"/>
  <c r="G241"/>
  <c r="L241" s="1"/>
  <c r="G237"/>
  <c r="L237" s="1"/>
  <c r="G236"/>
  <c r="L236" s="1"/>
  <c r="G235"/>
  <c r="I235" s="1"/>
  <c r="G234"/>
  <c r="L234" s="1"/>
  <c r="I233"/>
  <c r="G233"/>
  <c r="L233" s="1"/>
  <c r="L229"/>
  <c r="L228"/>
  <c r="L227"/>
  <c r="L226"/>
  <c r="L225"/>
  <c r="L224"/>
  <c r="L223"/>
  <c r="L222"/>
  <c r="L221"/>
  <c r="L220"/>
  <c r="L218"/>
  <c r="L217"/>
  <c r="L215"/>
  <c r="L213"/>
  <c r="L210"/>
  <c r="L209"/>
  <c r="L208"/>
  <c r="L205"/>
  <c r="L204"/>
  <c r="L202"/>
  <c r="L201"/>
  <c r="L200"/>
  <c r="L196"/>
  <c r="L195"/>
  <c r="L194"/>
  <c r="L193"/>
  <c r="L192"/>
  <c r="L191"/>
  <c r="L187"/>
  <c r="L186"/>
  <c r="L185"/>
  <c r="L184"/>
  <c r="L183"/>
  <c r="L182"/>
  <c r="L181"/>
  <c r="L180"/>
  <c r="L179"/>
  <c r="L178"/>
  <c r="L177"/>
  <c r="L173"/>
  <c r="L172"/>
  <c r="L171"/>
  <c r="L114"/>
  <c r="L112"/>
  <c r="G109"/>
  <c r="L109" s="1"/>
  <c r="G108"/>
  <c r="I108" s="1"/>
  <c r="I107"/>
  <c r="G107"/>
  <c r="L107" s="1"/>
  <c r="I103"/>
  <c r="G103"/>
  <c r="L103" s="1"/>
  <c r="I102"/>
  <c r="G102"/>
  <c r="L102" s="1"/>
  <c r="I101"/>
  <c r="G101"/>
  <c r="L101" s="1"/>
  <c r="I100"/>
  <c r="G100"/>
  <c r="L100" s="1"/>
  <c r="L97"/>
  <c r="L96"/>
  <c r="L95"/>
  <c r="L94"/>
  <c r="L93"/>
  <c r="L92"/>
  <c r="L91"/>
  <c r="L90"/>
  <c r="L87"/>
  <c r="L86"/>
  <c r="L85"/>
  <c r="L84"/>
  <c r="L83"/>
  <c r="L82"/>
  <c r="L81"/>
  <c r="L80"/>
  <c r="L79"/>
  <c r="L78"/>
  <c r="L77"/>
  <c r="L76"/>
  <c r="L75"/>
  <c r="L68"/>
  <c r="L67"/>
  <c r="L310" i="4"/>
  <c r="L308"/>
  <c r="L305"/>
  <c r="L304"/>
  <c r="L303"/>
  <c r="L297"/>
  <c r="L296"/>
  <c r="L295"/>
  <c r="L294"/>
  <c r="L293"/>
  <c r="L292"/>
  <c r="L291"/>
  <c r="L290"/>
  <c r="L286"/>
  <c r="L285"/>
  <c r="L284"/>
  <c r="L283"/>
  <c r="L282"/>
  <c r="L281"/>
  <c r="L280"/>
  <c r="L279"/>
  <c r="L278"/>
  <c r="L277"/>
  <c r="L276"/>
  <c r="L272"/>
  <c r="L271"/>
  <c r="L270"/>
  <c r="L269"/>
  <c r="L268"/>
  <c r="L264"/>
  <c r="L263"/>
  <c r="L262"/>
  <c r="L261"/>
  <c r="A262"/>
  <c r="L174"/>
  <c r="L175"/>
  <c r="L176"/>
  <c r="L180"/>
  <c r="L181"/>
  <c r="L182"/>
  <c r="L183"/>
  <c r="L184"/>
  <c r="L185"/>
  <c r="L186"/>
  <c r="L187"/>
  <c r="L188"/>
  <c r="L189"/>
  <c r="L190"/>
  <c r="L194"/>
  <c r="L195"/>
  <c r="L196"/>
  <c r="L197"/>
  <c r="L198"/>
  <c r="L199"/>
  <c r="L203"/>
  <c r="L204"/>
  <c r="L205"/>
  <c r="L207"/>
  <c r="L208"/>
  <c r="L211"/>
  <c r="L212"/>
  <c r="L213"/>
  <c r="L216"/>
  <c r="L218"/>
  <c r="L220"/>
  <c r="L221"/>
  <c r="L223"/>
  <c r="L224"/>
  <c r="L225"/>
  <c r="L226"/>
  <c r="L227"/>
  <c r="L228"/>
  <c r="L229"/>
  <c r="L230"/>
  <c r="L231"/>
  <c r="L232"/>
  <c r="G236"/>
  <c r="L236" s="1"/>
  <c r="I236"/>
  <c r="G237"/>
  <c r="I237" s="1"/>
  <c r="G238"/>
  <c r="L238" s="1"/>
  <c r="G239"/>
  <c r="L239" s="1"/>
  <c r="G240"/>
  <c r="L240" s="1"/>
  <c r="G244"/>
  <c r="L244" s="1"/>
  <c r="I244"/>
  <c r="G245"/>
  <c r="L245" s="1"/>
  <c r="I245"/>
  <c r="G246"/>
  <c r="L246" s="1"/>
  <c r="I246"/>
  <c r="G247"/>
  <c r="L247" s="1"/>
  <c r="I247"/>
  <c r="G251"/>
  <c r="I251" s="1"/>
  <c r="G252"/>
  <c r="I252" s="1"/>
  <c r="L252"/>
  <c r="G253"/>
  <c r="I253" s="1"/>
  <c r="L256"/>
  <c r="L258"/>
  <c r="L313"/>
  <c r="L314"/>
  <c r="L315"/>
  <c r="L316"/>
  <c r="L317"/>
  <c r="L320"/>
  <c r="L321"/>
  <c r="L322"/>
  <c r="L323"/>
  <c r="L324"/>
  <c r="L328"/>
  <c r="L329"/>
  <c r="L330"/>
  <c r="L331"/>
  <c r="L332"/>
  <c r="L333"/>
  <c r="L334"/>
  <c r="L335"/>
  <c r="L336"/>
  <c r="L337"/>
  <c r="L338"/>
  <c r="L339"/>
  <c r="L340"/>
  <c r="L342"/>
  <c r="L345"/>
  <c r="L346"/>
  <c r="L347"/>
  <c r="L348"/>
  <c r="L349"/>
  <c r="L350"/>
  <c r="L351"/>
  <c r="L352"/>
  <c r="L353"/>
  <c r="L357"/>
  <c r="L358"/>
  <c r="L359"/>
  <c r="L363"/>
  <c r="L365"/>
  <c r="L366"/>
  <c r="L367"/>
  <c r="L368"/>
  <c r="L370"/>
  <c r="L372"/>
  <c r="L376"/>
  <c r="L378"/>
  <c r="L380"/>
  <c r="L382"/>
  <c r="L385"/>
  <c r="L387"/>
  <c r="L392"/>
  <c r="L393"/>
  <c r="L394"/>
  <c r="L395"/>
  <c r="L396"/>
  <c r="L397"/>
  <c r="L398"/>
  <c r="L399"/>
  <c r="L403"/>
  <c r="L404"/>
  <c r="L405"/>
  <c r="G409"/>
  <c r="L409" s="1"/>
  <c r="I409"/>
  <c r="G410"/>
  <c r="L410" s="1"/>
  <c r="G411"/>
  <c r="L411" s="1"/>
  <c r="I411"/>
  <c r="G412"/>
  <c r="I412"/>
  <c r="L412"/>
  <c r="G413"/>
  <c r="L413" s="1"/>
  <c r="G414"/>
  <c r="L414" s="1"/>
  <c r="G415"/>
  <c r="L415" s="1"/>
  <c r="G416"/>
  <c r="I416" s="1"/>
  <c r="G417"/>
  <c r="L417" s="1"/>
  <c r="G421"/>
  <c r="L421" s="1"/>
  <c r="G422"/>
  <c r="L422" s="1"/>
  <c r="G423"/>
  <c r="L423" s="1"/>
  <c r="L426"/>
  <c r="L428"/>
  <c r="L431"/>
  <c r="L430" s="1"/>
  <c r="L435"/>
  <c r="L436"/>
  <c r="L437"/>
  <c r="L438"/>
  <c r="L439"/>
  <c r="L440"/>
  <c r="L441"/>
  <c r="L442"/>
  <c r="L443"/>
  <c r="L447"/>
  <c r="L448"/>
  <c r="L449"/>
  <c r="L450"/>
  <c r="L451"/>
  <c r="L452"/>
  <c r="L456"/>
  <c r="L457"/>
  <c r="L458"/>
  <c r="L459"/>
  <c r="L462"/>
  <c r="L464"/>
  <c r="L466"/>
  <c r="L468"/>
  <c r="L469"/>
  <c r="L470"/>
  <c r="L474"/>
  <c r="L475"/>
  <c r="L476"/>
  <c r="L477"/>
  <c r="L478"/>
  <c r="L479"/>
  <c r="L480"/>
  <c r="L481"/>
  <c r="L482"/>
  <c r="L483"/>
  <c r="L485"/>
  <c r="L489"/>
  <c r="L490"/>
  <c r="L491"/>
  <c r="L492"/>
  <c r="L493"/>
  <c r="L494"/>
  <c r="G498"/>
  <c r="L498" s="1"/>
  <c r="I498"/>
  <c r="G499"/>
  <c r="L499" s="1"/>
  <c r="I499"/>
  <c r="G500"/>
  <c r="L500" s="1"/>
  <c r="I500"/>
  <c r="G501"/>
  <c r="L501" s="1"/>
  <c r="I501"/>
  <c r="L505"/>
  <c r="L504" s="1"/>
  <c r="L506"/>
  <c r="L509"/>
  <c r="L511"/>
  <c r="I236" i="5" l="1"/>
  <c r="I414"/>
  <c r="L419"/>
  <c r="L501"/>
  <c r="L235"/>
  <c r="L232" s="1"/>
  <c r="I418"/>
  <c r="I420"/>
  <c r="I413" i="4"/>
  <c r="L260"/>
  <c r="L402"/>
  <c r="L42"/>
  <c r="L54"/>
  <c r="L407" i="5"/>
  <c r="L411"/>
  <c r="L431"/>
  <c r="L341"/>
  <c r="L359"/>
  <c r="L388"/>
  <c r="I410"/>
  <c r="I412"/>
  <c r="L391" i="4"/>
  <c r="L179"/>
  <c r="L275"/>
  <c r="I417"/>
  <c r="L251"/>
  <c r="L219"/>
  <c r="L467"/>
  <c r="L416"/>
  <c r="L408" s="1"/>
  <c r="L302"/>
  <c r="L455"/>
  <c r="I423"/>
  <c r="I421"/>
  <c r="I415"/>
  <c r="L375"/>
  <c r="L312"/>
  <c r="I240"/>
  <c r="I238"/>
  <c r="L222"/>
  <c r="L488"/>
  <c r="L446"/>
  <c r="L362"/>
  <c r="L356"/>
  <c r="L473"/>
  <c r="L327"/>
  <c r="L237"/>
  <c r="L210"/>
  <c r="L193"/>
  <c r="L267"/>
  <c r="L289"/>
  <c r="L73" i="5"/>
  <c r="L170"/>
  <c r="L207"/>
  <c r="L470"/>
  <c r="L219"/>
  <c r="I248"/>
  <c r="L286"/>
  <c r="L309"/>
  <c r="L452"/>
  <c r="L89"/>
  <c r="I109"/>
  <c r="L216"/>
  <c r="I234"/>
  <c r="I250"/>
  <c r="L272"/>
  <c r="L316"/>
  <c r="L372"/>
  <c r="L443"/>
  <c r="L464"/>
  <c r="L99"/>
  <c r="L176"/>
  <c r="L199"/>
  <c r="L299"/>
  <c r="L353"/>
  <c r="L399"/>
  <c r="L417"/>
  <c r="L485"/>
  <c r="L190"/>
  <c r="L264"/>
  <c r="L324"/>
  <c r="L247"/>
  <c r="L494"/>
  <c r="L240"/>
  <c r="L108"/>
  <c r="L106" s="1"/>
  <c r="I237"/>
  <c r="I249"/>
  <c r="I413"/>
  <c r="L420" i="4"/>
  <c r="L497"/>
  <c r="L253"/>
  <c r="L202"/>
  <c r="I422"/>
  <c r="I414"/>
  <c r="I410"/>
  <c r="L319"/>
  <c r="I239"/>
  <c r="L173"/>
  <c r="L434"/>
  <c r="L344"/>
  <c r="L243"/>
  <c r="L235"/>
  <c r="L405" i="5" l="1"/>
  <c r="L250" i="4"/>
  <c r="A263"/>
  <c r="A261" l="1"/>
  <c r="L117" l="1"/>
  <c r="L115"/>
  <c r="G112"/>
  <c r="I112" s="1"/>
  <c r="L111"/>
  <c r="G111"/>
  <c r="I111" s="1"/>
  <c r="G110"/>
  <c r="I110" s="1"/>
  <c r="I106"/>
  <c r="G106"/>
  <c r="L106" s="1"/>
  <c r="I105"/>
  <c r="G105"/>
  <c r="L105" s="1"/>
  <c r="I104"/>
  <c r="G104"/>
  <c r="L104" s="1"/>
  <c r="I103"/>
  <c r="G103"/>
  <c r="L103" s="1"/>
  <c r="L100"/>
  <c r="L99"/>
  <c r="L98"/>
  <c r="L97"/>
  <c r="L96"/>
  <c r="L95"/>
  <c r="L94"/>
  <c r="L93"/>
  <c r="L90"/>
  <c r="L89"/>
  <c r="L88"/>
  <c r="L87"/>
  <c r="L86"/>
  <c r="L85"/>
  <c r="L84"/>
  <c r="L83"/>
  <c r="L82"/>
  <c r="L81"/>
  <c r="L80"/>
  <c r="L79"/>
  <c r="L78"/>
  <c r="L71"/>
  <c r="L70"/>
  <c r="L69"/>
  <c r="L66"/>
  <c r="L64"/>
  <c r="L68" l="1"/>
  <c r="L92"/>
  <c r="L110"/>
  <c r="L76"/>
  <c r="L102"/>
  <c r="L112"/>
  <c r="L109" s="1"/>
  <c r="B134" i="2" l="1"/>
  <c r="K127"/>
  <c r="K3"/>
  <c r="K157"/>
  <c r="B287"/>
  <c r="K308"/>
  <c r="K305"/>
  <c r="K304"/>
  <c r="K299"/>
  <c r="K298"/>
  <c r="H298"/>
  <c r="K297"/>
  <c r="H297"/>
  <c r="K296"/>
  <c r="H296"/>
  <c r="K295"/>
  <c r="H295"/>
  <c r="K294"/>
  <c r="H294"/>
  <c r="K291"/>
  <c r="K289"/>
  <c r="K284"/>
  <c r="K281"/>
  <c r="K280"/>
  <c r="K279"/>
  <c r="K278"/>
  <c r="K275"/>
  <c r="K272"/>
  <c r="K271"/>
  <c r="K270"/>
  <c r="K264"/>
  <c r="K263"/>
  <c r="K262"/>
  <c r="K261"/>
  <c r="K260"/>
  <c r="K259"/>
  <c r="K258"/>
  <c r="K257"/>
  <c r="K256"/>
  <c r="K255"/>
  <c r="K253"/>
  <c r="K252"/>
  <c r="K249"/>
  <c r="K248"/>
  <c r="K247"/>
  <c r="K246"/>
  <c r="K245"/>
  <c r="B244"/>
  <c r="K242"/>
  <c r="K240"/>
  <c r="K236"/>
  <c r="K235"/>
  <c r="F231"/>
  <c r="K231" s="1"/>
  <c r="F230"/>
  <c r="H230" s="1"/>
  <c r="F229"/>
  <c r="K229" s="1"/>
  <c r="F228"/>
  <c r="H228" s="1"/>
  <c r="F227"/>
  <c r="K227" s="1"/>
  <c r="F226"/>
  <c r="H226" s="1"/>
  <c r="F225"/>
  <c r="K225" s="1"/>
  <c r="F224"/>
  <c r="H224" s="1"/>
  <c r="F223"/>
  <c r="K223" s="1"/>
  <c r="K219"/>
  <c r="G219"/>
  <c r="K218"/>
  <c r="B217"/>
  <c r="K213"/>
  <c r="K210"/>
  <c r="K209"/>
  <c r="K205"/>
  <c r="K204"/>
  <c r="K203"/>
  <c r="K202"/>
  <c r="K201"/>
  <c r="K197"/>
  <c r="K196"/>
  <c r="K195"/>
  <c r="K194"/>
  <c r="K193"/>
  <c r="K190"/>
  <c r="K189"/>
  <c r="K188"/>
  <c r="K187"/>
  <c r="K183"/>
  <c r="K182"/>
  <c r="K181"/>
  <c r="K180"/>
  <c r="B180"/>
  <c r="K176"/>
  <c r="K173"/>
  <c r="K172"/>
  <c r="K171"/>
  <c r="K170"/>
  <c r="F166"/>
  <c r="K166" s="1"/>
  <c r="F165"/>
  <c r="H165" s="1"/>
  <c r="F164"/>
  <c r="K164" s="1"/>
  <c r="F163"/>
  <c r="H163" s="1"/>
  <c r="F162"/>
  <c r="K162" s="1"/>
  <c r="K159"/>
  <c r="B158"/>
  <c r="K152"/>
  <c r="K151"/>
  <c r="K148"/>
  <c r="K146"/>
  <c r="K143"/>
  <c r="K142"/>
  <c r="H142"/>
  <c r="K141"/>
  <c r="H141"/>
  <c r="K140"/>
  <c r="H140"/>
  <c r="K139"/>
  <c r="H139"/>
  <c r="K138"/>
  <c r="H138"/>
  <c r="K133"/>
  <c r="K130"/>
  <c r="K126"/>
  <c r="K125"/>
  <c r="K121"/>
  <c r="K120"/>
  <c r="K119"/>
  <c r="K115"/>
  <c r="K114"/>
  <c r="K113"/>
  <c r="K112"/>
  <c r="K111"/>
  <c r="K110"/>
  <c r="K109"/>
  <c r="K108"/>
  <c r="B106"/>
  <c r="K104"/>
  <c r="K76"/>
  <c r="K73"/>
  <c r="K72"/>
  <c r="K71"/>
  <c r="K70"/>
  <c r="K66"/>
  <c r="K65"/>
  <c r="K64"/>
  <c r="K59"/>
  <c r="K58"/>
  <c r="K57"/>
  <c r="K56"/>
  <c r="K55"/>
  <c r="K54"/>
  <c r="K53"/>
  <c r="K52"/>
  <c r="K46"/>
  <c r="K44"/>
  <c r="K43"/>
  <c r="K41"/>
  <c r="K40"/>
  <c r="B37"/>
  <c r="K36"/>
  <c r="K186" l="1"/>
  <c r="K208"/>
  <c r="K107"/>
  <c r="K200"/>
  <c r="K169"/>
  <c r="K179"/>
  <c r="K124"/>
  <c r="K150"/>
  <c r="K234"/>
  <c r="K269"/>
  <c r="K303"/>
  <c r="H162"/>
  <c r="H229"/>
  <c r="K244"/>
  <c r="K38"/>
  <c r="K69"/>
  <c r="H166"/>
  <c r="H225"/>
  <c r="K293"/>
  <c r="M287" s="1"/>
  <c r="K63"/>
  <c r="K118"/>
  <c r="K137"/>
  <c r="B133" s="1"/>
  <c r="H164"/>
  <c r="H223"/>
  <c r="H227"/>
  <c r="H231"/>
  <c r="K277"/>
  <c r="M243" s="1"/>
  <c r="M3"/>
  <c r="K163"/>
  <c r="K165"/>
  <c r="K224"/>
  <c r="K226"/>
  <c r="K228"/>
  <c r="K230"/>
  <c r="B179" l="1"/>
  <c r="B243"/>
  <c r="M179"/>
  <c r="M133"/>
  <c r="B36"/>
  <c r="B286"/>
  <c r="K161"/>
  <c r="B157" s="1"/>
  <c r="M80"/>
  <c r="B105"/>
  <c r="M105"/>
  <c r="M36"/>
  <c r="K222"/>
  <c r="M216" l="1"/>
  <c r="B216"/>
  <c r="B2" s="1"/>
  <c r="M157"/>
  <c r="M2" s="1"/>
  <c r="E28" i="6" l="1"/>
  <c r="F28" s="1"/>
  <c r="E26"/>
  <c r="F26" s="1"/>
  <c r="H26" s="1"/>
  <c r="E21"/>
  <c r="F21" s="1"/>
  <c r="H21" s="1"/>
  <c r="E20"/>
  <c r="F20" s="1"/>
  <c r="I20" s="1"/>
  <c r="K18"/>
  <c r="L18" s="1"/>
  <c r="O18" s="1"/>
  <c r="E18"/>
  <c r="F18" s="1"/>
  <c r="I18" s="1"/>
  <c r="K9"/>
  <c r="L9" s="1"/>
  <c r="N9" s="1"/>
  <c r="K8"/>
  <c r="L8" s="1"/>
  <c r="N8" s="1"/>
  <c r="E8"/>
  <c r="F8" s="1"/>
  <c r="I8" s="1"/>
  <c r="K5"/>
  <c r="L5" s="1"/>
  <c r="N5" s="1"/>
  <c r="E5"/>
  <c r="F5" s="1"/>
  <c r="O7"/>
  <c r="O10"/>
  <c r="O12"/>
  <c r="O13"/>
  <c r="O14"/>
  <c r="O15"/>
  <c r="O16"/>
  <c r="O17"/>
  <c r="O19"/>
  <c r="O22"/>
  <c r="O23"/>
  <c r="O24"/>
  <c r="O25"/>
  <c r="O30"/>
  <c r="O31"/>
  <c r="O32"/>
  <c r="O33"/>
  <c r="O34"/>
  <c r="O4"/>
  <c r="I7"/>
  <c r="I10"/>
  <c r="I12"/>
  <c r="I13"/>
  <c r="I15"/>
  <c r="I16"/>
  <c r="I17"/>
  <c r="I19"/>
  <c r="I22"/>
  <c r="I23"/>
  <c r="I24"/>
  <c r="I25"/>
  <c r="I30"/>
  <c r="I31"/>
  <c r="I32"/>
  <c r="I33"/>
  <c r="I34"/>
  <c r="I4"/>
  <c r="N7"/>
  <c r="N10"/>
  <c r="N12"/>
  <c r="N13"/>
  <c r="N14"/>
  <c r="N15"/>
  <c r="N16"/>
  <c r="N17"/>
  <c r="N19"/>
  <c r="N22"/>
  <c r="N23"/>
  <c r="N24"/>
  <c r="N25"/>
  <c r="N31"/>
  <c r="N32"/>
  <c r="N33"/>
  <c r="N34"/>
  <c r="N4"/>
  <c r="H7"/>
  <c r="H10"/>
  <c r="H12"/>
  <c r="H13"/>
  <c r="H15"/>
  <c r="H16"/>
  <c r="H17"/>
  <c r="H19"/>
  <c r="H22"/>
  <c r="H23"/>
  <c r="H24"/>
  <c r="H25"/>
  <c r="H27"/>
  <c r="H31"/>
  <c r="H32"/>
  <c r="H33"/>
  <c r="H34"/>
  <c r="H4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4"/>
  <c r="E6"/>
  <c r="F6" s="1"/>
  <c r="I6" s="1"/>
  <c r="K6"/>
  <c r="L6" s="1"/>
  <c r="F4"/>
  <c r="F7"/>
  <c r="F10"/>
  <c r="F11"/>
  <c r="I11" s="1"/>
  <c r="F12"/>
  <c r="F13"/>
  <c r="F14"/>
  <c r="I14" s="1"/>
  <c r="F15"/>
  <c r="F16"/>
  <c r="F17"/>
  <c r="F19"/>
  <c r="F22"/>
  <c r="F23"/>
  <c r="F24"/>
  <c r="F25"/>
  <c r="F27"/>
  <c r="I27" s="1"/>
  <c r="F29"/>
  <c r="I29" s="1"/>
  <c r="F30"/>
  <c r="H30" s="1"/>
  <c r="F31"/>
  <c r="F32"/>
  <c r="F33"/>
  <c r="F34"/>
  <c r="L7"/>
  <c r="L10"/>
  <c r="L11"/>
  <c r="O11" s="1"/>
  <c r="L12"/>
  <c r="L13"/>
  <c r="L14"/>
  <c r="L15"/>
  <c r="L16"/>
  <c r="L17"/>
  <c r="L19"/>
  <c r="L20"/>
  <c r="O20" s="1"/>
  <c r="L21"/>
  <c r="O21" s="1"/>
  <c r="L22"/>
  <c r="L23"/>
  <c r="L24"/>
  <c r="L25"/>
  <c r="L26"/>
  <c r="O26" s="1"/>
  <c r="L27"/>
  <c r="O27" s="1"/>
  <c r="L28"/>
  <c r="O28" s="1"/>
  <c r="L29"/>
  <c r="O29" s="1"/>
  <c r="L30"/>
  <c r="N30" s="1"/>
  <c r="L31"/>
  <c r="L32"/>
  <c r="L33"/>
  <c r="L34"/>
  <c r="L4"/>
  <c r="H6" l="1"/>
  <c r="N6"/>
  <c r="O6"/>
  <c r="N29"/>
  <c r="H29"/>
  <c r="N28"/>
  <c r="I28"/>
  <c r="H28"/>
  <c r="N27"/>
  <c r="N26"/>
  <c r="I26"/>
  <c r="N21"/>
  <c r="I21"/>
  <c r="N20"/>
  <c r="H20"/>
  <c r="N18"/>
  <c r="N11"/>
  <c r="H11"/>
  <c r="H18"/>
  <c r="H14"/>
  <c r="O9"/>
  <c r="O8"/>
  <c r="H8"/>
  <c r="O5"/>
  <c r="I5"/>
  <c r="H5"/>
  <c r="E9" l="1"/>
  <c r="F9" s="1"/>
  <c r="H9" l="1"/>
  <c r="I9"/>
  <c r="D142" i="3" l="1"/>
  <c r="Q194" l="1"/>
  <c r="P194"/>
  <c r="O194"/>
  <c r="N194"/>
  <c r="M194"/>
  <c r="Q186"/>
  <c r="P186"/>
  <c r="O186"/>
  <c r="N186"/>
  <c r="M186"/>
  <c r="Q176"/>
  <c r="P176"/>
  <c r="O176"/>
  <c r="N176"/>
  <c r="M176"/>
  <c r="Q168"/>
  <c r="P168"/>
  <c r="O168"/>
  <c r="N168"/>
  <c r="M168"/>
  <c r="Q158"/>
  <c r="P158"/>
  <c r="O158"/>
  <c r="N158"/>
  <c r="M158"/>
  <c r="Q150"/>
  <c r="P150"/>
  <c r="O150"/>
  <c r="N150"/>
  <c r="M150"/>
  <c r="Q142"/>
  <c r="P142"/>
  <c r="O142"/>
  <c r="N142"/>
  <c r="M142"/>
  <c r="Q134"/>
  <c r="P134"/>
  <c r="O134"/>
  <c r="N134"/>
  <c r="M134"/>
  <c r="Q125"/>
  <c r="P125"/>
  <c r="O125"/>
  <c r="N125"/>
  <c r="M125"/>
  <c r="Q116"/>
  <c r="P116"/>
  <c r="O116"/>
  <c r="N116"/>
  <c r="M116"/>
  <c r="Q107"/>
  <c r="P107"/>
  <c r="O107"/>
  <c r="N107"/>
  <c r="M107"/>
  <c r="Q99"/>
  <c r="P99"/>
  <c r="O99"/>
  <c r="N99"/>
  <c r="M99"/>
  <c r="Q91"/>
  <c r="P91"/>
  <c r="O91"/>
  <c r="N91"/>
  <c r="M91"/>
  <c r="Q83"/>
  <c r="P83"/>
  <c r="O83"/>
  <c r="N83"/>
  <c r="M83"/>
  <c r="Q75"/>
  <c r="P75"/>
  <c r="O75"/>
  <c r="N75"/>
  <c r="M75"/>
  <c r="Q67"/>
  <c r="P67"/>
  <c r="O67"/>
  <c r="N67"/>
  <c r="M67"/>
  <c r="Q59"/>
  <c r="P59"/>
  <c r="O59"/>
  <c r="N59"/>
  <c r="M59"/>
  <c r="Q52"/>
  <c r="P52"/>
  <c r="O52"/>
  <c r="N52"/>
  <c r="M52"/>
  <c r="Q43"/>
  <c r="P43"/>
  <c r="O43"/>
  <c r="N43"/>
  <c r="M43"/>
  <c r="Q35"/>
  <c r="P35"/>
  <c r="O35"/>
  <c r="N35"/>
  <c r="M35"/>
  <c r="Q143" l="1"/>
  <c r="O159"/>
  <c r="O143"/>
  <c r="Q159"/>
  <c r="M177"/>
  <c r="O177"/>
  <c r="Q177"/>
  <c r="M195"/>
  <c r="O195"/>
  <c r="Q195"/>
  <c r="O60"/>
  <c r="Q60"/>
  <c r="O76"/>
  <c r="Q76"/>
  <c r="O92"/>
  <c r="Q92"/>
  <c r="O108"/>
  <c r="Q108"/>
  <c r="O126"/>
  <c r="Q126"/>
  <c r="N60"/>
  <c r="N196" s="1"/>
  <c r="N198" s="1"/>
  <c r="P60"/>
  <c r="N76"/>
  <c r="P76"/>
  <c r="N92"/>
  <c r="P92"/>
  <c r="N108"/>
  <c r="P108"/>
  <c r="N126"/>
  <c r="P126"/>
  <c r="N143"/>
  <c r="P143"/>
  <c r="N159"/>
  <c r="P159"/>
  <c r="N177"/>
  <c r="P177"/>
  <c r="N195"/>
  <c r="P195"/>
  <c r="M159"/>
  <c r="M126"/>
  <c r="M108"/>
  <c r="M92"/>
  <c r="M143"/>
  <c r="M76"/>
  <c r="M60"/>
  <c r="A2" i="4" l="1"/>
  <c r="A2" i="5"/>
  <c r="Q196" i="3"/>
  <c r="Q198" s="1"/>
  <c r="P196"/>
  <c r="P198" s="1"/>
  <c r="O196"/>
  <c r="O198" s="1"/>
  <c r="M196"/>
  <c r="D158" l="1"/>
  <c r="E176"/>
  <c r="F176"/>
  <c r="G176"/>
  <c r="H176"/>
  <c r="D176"/>
  <c r="D83" l="1"/>
  <c r="E75" l="1"/>
  <c r="F75"/>
  <c r="G75"/>
  <c r="H75"/>
  <c r="D75"/>
  <c r="E59"/>
  <c r="F59"/>
  <c r="G59"/>
  <c r="H59"/>
  <c r="D59"/>
  <c r="H194" l="1"/>
  <c r="G194"/>
  <c r="F194"/>
  <c r="E194"/>
  <c r="D194"/>
  <c r="H186"/>
  <c r="G186"/>
  <c r="F186"/>
  <c r="E186"/>
  <c r="D186"/>
  <c r="H168"/>
  <c r="G168"/>
  <c r="G177" s="1"/>
  <c r="F168"/>
  <c r="E168"/>
  <c r="E177" s="1"/>
  <c r="D168"/>
  <c r="H158"/>
  <c r="G158"/>
  <c r="F158"/>
  <c r="E158"/>
  <c r="H150"/>
  <c r="H159" s="1"/>
  <c r="G150"/>
  <c r="F150"/>
  <c r="F159" s="1"/>
  <c r="E150"/>
  <c r="D150"/>
  <c r="H142"/>
  <c r="G142"/>
  <c r="F142"/>
  <c r="E142"/>
  <c r="H134"/>
  <c r="H143" s="1"/>
  <c r="G134"/>
  <c r="G143" s="1"/>
  <c r="F134"/>
  <c r="F143" s="1"/>
  <c r="E134"/>
  <c r="E143" s="1"/>
  <c r="D134"/>
  <c r="H125"/>
  <c r="G125"/>
  <c r="F125"/>
  <c r="E125"/>
  <c r="D125"/>
  <c r="H116"/>
  <c r="G116"/>
  <c r="F116"/>
  <c r="E116"/>
  <c r="D116"/>
  <c r="H107"/>
  <c r="G107"/>
  <c r="F107"/>
  <c r="E107"/>
  <c r="D107"/>
  <c r="H99"/>
  <c r="G99"/>
  <c r="F99"/>
  <c r="E99"/>
  <c r="D99"/>
  <c r="H91"/>
  <c r="G91"/>
  <c r="F91"/>
  <c r="E91"/>
  <c r="D91"/>
  <c r="D92" s="1"/>
  <c r="H83"/>
  <c r="G83"/>
  <c r="F83"/>
  <c r="E83"/>
  <c r="H67"/>
  <c r="H76" s="1"/>
  <c r="G67"/>
  <c r="G76" s="1"/>
  <c r="F67"/>
  <c r="E67"/>
  <c r="D67"/>
  <c r="H52"/>
  <c r="G52"/>
  <c r="G60" s="1"/>
  <c r="F52"/>
  <c r="E52"/>
  <c r="E60" s="1"/>
  <c r="D52"/>
  <c r="H43"/>
  <c r="G43"/>
  <c r="F43"/>
  <c r="E43"/>
  <c r="D43"/>
  <c r="H35"/>
  <c r="G35"/>
  <c r="F35"/>
  <c r="E35"/>
  <c r="D35"/>
  <c r="E108" l="1"/>
  <c r="G108"/>
  <c r="E195"/>
  <c r="G195"/>
  <c r="E126"/>
  <c r="G126"/>
  <c r="F92"/>
  <c r="H92"/>
  <c r="H126"/>
  <c r="D195"/>
  <c r="D177"/>
  <c r="D159"/>
  <c r="D143"/>
  <c r="D126"/>
  <c r="D108"/>
  <c r="E76"/>
  <c r="D76"/>
  <c r="D60"/>
  <c r="F195"/>
  <c r="H195"/>
  <c r="F177"/>
  <c r="H177"/>
  <c r="E159"/>
  <c r="G159"/>
  <c r="F126"/>
  <c r="F108"/>
  <c r="H108"/>
  <c r="E92"/>
  <c r="G92"/>
  <c r="F76"/>
  <c r="F60"/>
  <c r="H60"/>
  <c r="G196" l="1"/>
  <c r="G198" s="1"/>
  <c r="H196"/>
  <c r="H198" s="1"/>
  <c r="D196"/>
  <c r="E196"/>
  <c r="E198" s="1"/>
  <c r="F196"/>
  <c r="F198" s="1"/>
</calcChain>
</file>

<file path=xl/sharedStrings.xml><?xml version="1.0" encoding="utf-8"?>
<sst xmlns="http://schemas.openxmlformats.org/spreadsheetml/2006/main" count="2043" uniqueCount="386">
  <si>
    <t>Приём пищи</t>
  </si>
  <si>
    <t>Наименование блюда</t>
  </si>
  <si>
    <t>Вес блюда</t>
  </si>
  <si>
    <t>Завтрак</t>
  </si>
  <si>
    <t>Хлеб пшеничный</t>
  </si>
  <si>
    <t>Чай с лимоном</t>
  </si>
  <si>
    <t>Итого за завтрак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</si>
  <si>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</si>
  <si>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</si>
  <si>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</si>
  <si>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</si>
  <si>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</si>
  <si>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</si>
  <si>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1 неделя  1 день</t>
  </si>
  <si>
    <t>Молоко  в ИУ</t>
  </si>
  <si>
    <t>Наименование сырья</t>
  </si>
  <si>
    <t>Расход сырья и полуфабрикатов</t>
  </si>
  <si>
    <t>1 порц.</t>
  </si>
  <si>
    <t>брутто, г</t>
  </si>
  <si>
    <t>нетто, г</t>
  </si>
  <si>
    <t>Масло сливочное</t>
  </si>
  <si>
    <t>Выход</t>
  </si>
  <si>
    <t>сумма</t>
  </si>
  <si>
    <t>масса порции</t>
  </si>
  <si>
    <t>3/11-18</t>
  </si>
  <si>
    <t>Крупа рисовая</t>
  </si>
  <si>
    <t>Молоко</t>
  </si>
  <si>
    <t>Вода</t>
  </si>
  <si>
    <t>Сахарный песок</t>
  </si>
  <si>
    <t>Соль пищевая йодированная</t>
  </si>
  <si>
    <t>-</t>
  </si>
  <si>
    <t>наименование блюда</t>
  </si>
  <si>
    <t>54-Згн-2020</t>
  </si>
  <si>
    <t>Согласовано:</t>
  </si>
  <si>
    <t>Утверждаю:</t>
  </si>
  <si>
    <t xml:space="preserve">Начальник территориального отдела Управления </t>
  </si>
  <si>
    <t>Начальник управления образования администрации</t>
  </si>
  <si>
    <t>Федеральной службы по надзору в сфере защиты прав потребителей</t>
  </si>
  <si>
    <t>муниципального района "Корочанский район"</t>
  </si>
  <si>
    <t xml:space="preserve"> и благополучия человека по Белгородской области в Губкинском районе</t>
  </si>
  <si>
    <t>"_____"_____________  2021 г.</t>
  </si>
  <si>
    <t>Н.С. Имамедова</t>
  </si>
  <si>
    <t>"_____"______________ 2021 г.</t>
  </si>
  <si>
    <t>Г.И. Крештель</t>
  </si>
  <si>
    <t>Перспективное меню завтраков, обедов и полдников</t>
  </si>
  <si>
    <t xml:space="preserve">для организации горячего питания в общеобразовательных учреждений  </t>
  </si>
  <si>
    <t>муниципального района «Корочанский район»</t>
  </si>
  <si>
    <t>(осенне-зимний период)</t>
  </si>
  <si>
    <t>на 2021-2022 учебный год</t>
  </si>
  <si>
    <t xml:space="preserve">Возрастная категория: 7-11 лет </t>
  </si>
  <si>
    <t>Возрастная категория: 12 лет и старше</t>
  </si>
  <si>
    <t>Возрастная категория: 7-11 лет</t>
  </si>
  <si>
    <t>Неделя 1</t>
  </si>
  <si>
    <t>День 1</t>
  </si>
  <si>
    <t>Обед</t>
  </si>
  <si>
    <t>Итого за обед</t>
  </si>
  <si>
    <t>Итого за день</t>
  </si>
  <si>
    <t>День 2</t>
  </si>
  <si>
    <t>Икра кабачковая</t>
  </si>
  <si>
    <t>Щи из свежей капусты с картофелем</t>
  </si>
  <si>
    <t>День 3</t>
  </si>
  <si>
    <t>День 4</t>
  </si>
  <si>
    <t>День 5</t>
  </si>
  <si>
    <t>Салат из соленых огурцов с луком</t>
  </si>
  <si>
    <t>Неделя 2</t>
  </si>
  <si>
    <t>Среднее значение за период:</t>
  </si>
  <si>
    <t>Средняя потребность (60% от суточной потребности):</t>
  </si>
  <si>
    <t>Процент удовлетворения потребности:</t>
  </si>
  <si>
    <t>Чай с сахаром</t>
  </si>
  <si>
    <t>хлеб пшеничный</t>
  </si>
  <si>
    <t>Рыба запеченная под соусом</t>
  </si>
  <si>
    <t>Котлета "Куриная" рубленная из цыплят бройлеров</t>
  </si>
  <si>
    <t>Рис отварной с маслом сливочным</t>
  </si>
  <si>
    <t>Омлет натуральный с маслом</t>
  </si>
  <si>
    <t>Выход готового блюда</t>
  </si>
  <si>
    <t>50 гр яйцо</t>
  </si>
  <si>
    <t>Яйцо</t>
  </si>
  <si>
    <t>Творог</t>
  </si>
  <si>
    <t>Крупа манная</t>
  </si>
  <si>
    <t>Ванилин</t>
  </si>
  <si>
    <t>~ Масса полуфабриката</t>
  </si>
  <si>
    <t>Масло растительное</t>
  </si>
  <si>
    <t xml:space="preserve">1 литр растительного масла равен 925 грамм </t>
  </si>
  <si>
    <t>Капуста белокочанная</t>
  </si>
  <si>
    <t>Картофель</t>
  </si>
  <si>
    <t>Морковь</t>
  </si>
  <si>
    <t>Лук репчатый</t>
  </si>
  <si>
    <t>Томат-пюре</t>
  </si>
  <si>
    <t>Бульон мясной</t>
  </si>
  <si>
    <t>или Бульон куриный</t>
  </si>
  <si>
    <t>или Вода</t>
  </si>
  <si>
    <t>Возрастная категория: 12-18 лет</t>
  </si>
  <si>
    <t>Грудка ЦБ</t>
  </si>
  <si>
    <t>Сухари</t>
  </si>
  <si>
    <t>Соль йодированная</t>
  </si>
  <si>
    <t>сок</t>
  </si>
  <si>
    <t>1 литр растительного масла равен 925 грамм  110 р. За 1 = 119 р.кг</t>
  </si>
  <si>
    <t>Огурцы соленые</t>
  </si>
  <si>
    <t>Лук зеленый</t>
  </si>
  <si>
    <t>или Лук репчатый</t>
  </si>
  <si>
    <t>Горох</t>
  </si>
  <si>
    <t>Лавровый лист</t>
  </si>
  <si>
    <t>Капуста</t>
  </si>
  <si>
    <t>Сахар</t>
  </si>
  <si>
    <t>Лимонная кислота</t>
  </si>
  <si>
    <t>Макаронные изделия</t>
  </si>
  <si>
    <t>200/10</t>
  </si>
  <si>
    <r>
      <t xml:space="preserve">Грудка ЦБ охл. </t>
    </r>
    <r>
      <rPr>
        <b/>
        <sz val="9"/>
        <rFont val="Arial"/>
        <family val="2"/>
        <charset val="204"/>
      </rPr>
      <t>ГОСТ 32737-2014</t>
    </r>
  </si>
  <si>
    <t>Рыба б/г</t>
  </si>
  <si>
    <t>Сметана</t>
  </si>
  <si>
    <t>Вода или бульон</t>
  </si>
  <si>
    <t>Мука</t>
  </si>
  <si>
    <t>Огурец соленый</t>
  </si>
  <si>
    <t>Крупа гречневая</t>
  </si>
  <si>
    <t>Птица запеченая (окорочок кур.) порционная</t>
  </si>
  <si>
    <t>Мука пшеничная</t>
  </si>
  <si>
    <t>Свекла</t>
  </si>
  <si>
    <t>Масло подсолнечное</t>
  </si>
  <si>
    <t>Крупа перловая</t>
  </si>
  <si>
    <t>Морковь, красная</t>
  </si>
  <si>
    <t>Салат из белокочанной капусты с морковью</t>
  </si>
  <si>
    <t>КАРТОФЕЛЬ</t>
  </si>
  <si>
    <t>с 01.03 по 31.07</t>
  </si>
  <si>
    <t>с 01.08 по 31.08</t>
  </si>
  <si>
    <t>с 01.09 по 31.10</t>
  </si>
  <si>
    <t>с 01.11 по 31.12</t>
  </si>
  <si>
    <t>с 01.01 по 31.08</t>
  </si>
  <si>
    <t>с 01.09 по 31.12</t>
  </si>
  <si>
    <t>Минтай</t>
  </si>
  <si>
    <t xml:space="preserve">Рыба, тушенная с овощами </t>
  </si>
  <si>
    <t>54-16к-20</t>
  </si>
  <si>
    <t>* с 01.03 салат из отварной моркови</t>
  </si>
  <si>
    <t>54-1с-20</t>
  </si>
  <si>
    <t>54-4г-20</t>
  </si>
  <si>
    <t>54-5м-20</t>
  </si>
  <si>
    <t>№ п/п</t>
  </si>
  <si>
    <t>Наименование пищевого продукта или группы продуктов</t>
  </si>
  <si>
    <t>Факт (за 10 дней)</t>
  </si>
  <si>
    <t>Отклонение</t>
  </si>
  <si>
    <t>% выполнения</t>
  </si>
  <si>
    <t>норма (в нетто г, мл. на 1  чел. в сутки)</t>
  </si>
  <si>
    <t>Хлеб ржаной</t>
  </si>
  <si>
    <t>Крупы, бобовые</t>
  </si>
  <si>
    <t>Овощи (свежие, замороженные, консервированные), включая соленые и квашеные (не более 10% от общего количества овощей), в т.ч. томат-пюре, зелень, г.</t>
  </si>
  <si>
    <t>Фрукты свежие</t>
  </si>
  <si>
    <t>Сухофрукты</t>
  </si>
  <si>
    <t>Соки фруктовые и овощные</t>
  </si>
  <si>
    <t>Мясо 1 -й категории</t>
  </si>
  <si>
    <t>Субпродукты (печень, язык, сердце)</t>
  </si>
  <si>
    <t>Птица (куры, цыплята- бройлеры, индейка - потрошенная, 1 кат.)</t>
  </si>
  <si>
    <t>Рыба (филе), в т.ч. филе слабо- или малосоленое</t>
  </si>
  <si>
    <t>Кисломолочная пищевая продукция</t>
  </si>
  <si>
    <t>Творог (5%-9% м.д.ж.)</t>
  </si>
  <si>
    <t>Сыр</t>
  </si>
  <si>
    <t>Яйцо,  1 шт. - 50 г</t>
  </si>
  <si>
    <t>Сахар (в том числе для приготовления блюд и напитков, в случае использования пищевой продукции промышленного выпуска, содержащих сахар выдача сахара должна быть уменьшена в зависимости от его содержания в используемом готовой пищевой продукции)</t>
  </si>
  <si>
    <t>Кондитерские изделия</t>
  </si>
  <si>
    <t>Чай</t>
  </si>
  <si>
    <t>Какао-порошок</t>
  </si>
  <si>
    <t>Кофейный напиток</t>
  </si>
  <si>
    <t>Дрожжи хлебопекарные</t>
  </si>
  <si>
    <t>Крахмал</t>
  </si>
  <si>
    <t>Соль пищевая поваренная йодированная</t>
  </si>
  <si>
    <t>Специи</t>
  </si>
  <si>
    <t>7-11 лет</t>
  </si>
  <si>
    <t>12-18 лет</t>
  </si>
  <si>
    <t>60% от суточной нормы,  потребление в школе</t>
  </si>
  <si>
    <t xml:space="preserve"> за 1 день</t>
  </si>
  <si>
    <t>Факт за 1 день</t>
  </si>
  <si>
    <t>Сахар-песок</t>
  </si>
  <si>
    <t>какао с молоком</t>
  </si>
  <si>
    <t>Лук</t>
  </si>
  <si>
    <t>Лимон</t>
  </si>
  <si>
    <t>или Бульон мясной</t>
  </si>
  <si>
    <t>Сухари панировочные</t>
  </si>
  <si>
    <t>Говядина, тазобедренная часть (боковой кусок)</t>
  </si>
  <si>
    <t>или Говядина, тазобедренная часть(наружный кусок)</t>
  </si>
  <si>
    <t>или Свинина, лопаточная часть</t>
  </si>
  <si>
    <t>или Свинина, шейная часть (мякоть)</t>
  </si>
  <si>
    <t>~ Масса тушеного мяса</t>
  </si>
  <si>
    <t>~ Масса готовых овощей</t>
  </si>
  <si>
    <t>Брутто, г</t>
  </si>
  <si>
    <t>Нетто, г</t>
  </si>
  <si>
    <t>Яйцо С-1 (столовое)</t>
  </si>
  <si>
    <t>Яблоки</t>
  </si>
  <si>
    <t>средняя стоимость</t>
  </si>
  <si>
    <t>выход порции</t>
  </si>
  <si>
    <t>цена за кг</t>
  </si>
  <si>
    <t>1 день</t>
  </si>
  <si>
    <t>завтрак</t>
  </si>
  <si>
    <t>яблоко</t>
  </si>
  <si>
    <t>пн</t>
  </si>
  <si>
    <t>сыр твердый</t>
  </si>
  <si>
    <t>каша геркулесовая</t>
  </si>
  <si>
    <t>Крупа овсяная "Геркулес"</t>
  </si>
  <si>
    <t>2 день</t>
  </si>
  <si>
    <t>вт</t>
  </si>
  <si>
    <t>огурец свежий</t>
  </si>
  <si>
    <t>Котлеты, биточки, шницели (2 вариант)</t>
  </si>
  <si>
    <t>Говядина (котлетное мясо)</t>
  </si>
  <si>
    <t>~ Масло растительное для запекания</t>
  </si>
  <si>
    <t>~ Масса готового блюда</t>
  </si>
  <si>
    <t>~ Соус томатный:</t>
  </si>
  <si>
    <t>Томат-паста</t>
  </si>
  <si>
    <t xml:space="preserve">Кофейный напиток на молоке </t>
  </si>
  <si>
    <t>Кофейный напиток растворимый</t>
  </si>
  <si>
    <t xml:space="preserve">Молоко </t>
  </si>
  <si>
    <t>3 день</t>
  </si>
  <si>
    <t>ср</t>
  </si>
  <si>
    <t>Салат из моркови с яблоками.</t>
  </si>
  <si>
    <t>Яблоки свежие</t>
  </si>
  <si>
    <t>Джем фруктовый с кусочками фруктов</t>
  </si>
  <si>
    <t>повидло</t>
  </si>
  <si>
    <t>Запеканка из творога</t>
  </si>
  <si>
    <t>батон пшеничный</t>
  </si>
  <si>
    <t>4 день</t>
  </si>
  <si>
    <t>груша</t>
  </si>
  <si>
    <t>чт</t>
  </si>
  <si>
    <t>ГУЛЯШ ИЗ КУРИНОГО ФИЛЕ.</t>
  </si>
  <si>
    <t>Куриное филе (грудка)</t>
  </si>
  <si>
    <t>Томат паста</t>
  </si>
  <si>
    <t>Соль</t>
  </si>
  <si>
    <t>Макароны отварные с маслом сливочным</t>
  </si>
  <si>
    <t>200/4</t>
  </si>
  <si>
    <t>5 день</t>
  </si>
  <si>
    <t>пт</t>
  </si>
  <si>
    <t>Яблоко свежее</t>
  </si>
  <si>
    <t>6 день</t>
  </si>
  <si>
    <t>Апельсин свежий</t>
  </si>
  <si>
    <t>Апельсин</t>
  </si>
  <si>
    <t>Сыр твердо-мягкий порционно</t>
  </si>
  <si>
    <t>Сыр твердо-мягкий с м.д.ж. 45%</t>
  </si>
  <si>
    <t>Каша гречневая молочная с маслом</t>
  </si>
  <si>
    <t>,</t>
  </si>
  <si>
    <t>Салат из моркови</t>
  </si>
  <si>
    <t>морковь</t>
  </si>
  <si>
    <t>сахарный песок</t>
  </si>
  <si>
    <t>растительное масло</t>
  </si>
  <si>
    <t>Фрикадельки из говядины, тушеные в соусе</t>
  </si>
  <si>
    <t>Соус молочный для запекания № 434</t>
  </si>
  <si>
    <t>Каша "Дружба" с маслом сливочным</t>
  </si>
  <si>
    <t>Крупа пшено</t>
  </si>
  <si>
    <t>Запеканка творожно-рисовая с маслом сливочным</t>
  </si>
  <si>
    <t>Творог 5%</t>
  </si>
  <si>
    <t>Тефтели из говядины</t>
  </si>
  <si>
    <t>~ Пассерованный лук</t>
  </si>
  <si>
    <t>~ Масса готовых тефтелей</t>
  </si>
  <si>
    <t>~ Соус томатный</t>
  </si>
  <si>
    <t>7 день</t>
  </si>
  <si>
    <t>8 день</t>
  </si>
  <si>
    <t>9 день</t>
  </si>
  <si>
    <t>10 день</t>
  </si>
  <si>
    <t>ОБЕД 1-4 классы</t>
  </si>
  <si>
    <t>ОБЕД 5-11 классы</t>
  </si>
  <si>
    <t>Фрукт порционно / Яблоко 1 шт.</t>
  </si>
  <si>
    <t>Сыр твердо-мягкий порционно с м.д.ж. 45%</t>
  </si>
  <si>
    <t>Каша геркулесовая молочная с маслом сливочным</t>
  </si>
  <si>
    <t xml:space="preserve">Какао с молоком </t>
  </si>
  <si>
    <t xml:space="preserve">Хлеб пшеничный </t>
  </si>
  <si>
    <t>Салат из квашенной капусты</t>
  </si>
  <si>
    <t>Суп картофельный с бобовыми</t>
  </si>
  <si>
    <t>Гуляш из куриного филе</t>
  </si>
  <si>
    <t>Макаронные изделия отварные с маслом сливочным</t>
  </si>
  <si>
    <t>Хлеб ржано-пшеничный</t>
  </si>
  <si>
    <t>Холодная закуска: огурец консервированный</t>
  </si>
  <si>
    <t>Холодная закуска: Овощи порционно / Огурец  свежий</t>
  </si>
  <si>
    <t xml:space="preserve">Рис отварной с маслом сливочным </t>
  </si>
  <si>
    <t>Кофейный напиток на молоке</t>
  </si>
  <si>
    <t>Салат из свеклы с маслом растительным</t>
  </si>
  <si>
    <t>Суп картофельный с крупой (гречневой)</t>
  </si>
  <si>
    <t xml:space="preserve">Картофельное пюре с маслом сливочным </t>
  </si>
  <si>
    <t xml:space="preserve">Компот из смеси сухофруктов     С- витаминизированный </t>
  </si>
  <si>
    <t xml:space="preserve">завтрак </t>
  </si>
  <si>
    <t>Салат из моркови с яблоком</t>
  </si>
  <si>
    <r>
      <t xml:space="preserve">Фрукт порционно / </t>
    </r>
    <r>
      <rPr>
        <sz val="10"/>
        <color rgb="FFFF0000"/>
        <rFont val="Times New Roman"/>
        <family val="1"/>
        <charset val="204"/>
      </rPr>
      <t>Банан</t>
    </r>
    <r>
      <rPr>
        <sz val="10"/>
        <color theme="1"/>
        <rFont val="Times New Roman"/>
        <family val="1"/>
        <charset val="204"/>
      </rPr>
      <t xml:space="preserve"> 1 шт.</t>
    </r>
  </si>
  <si>
    <t>Повидло</t>
  </si>
  <si>
    <t xml:space="preserve">Батон пшеничный </t>
  </si>
  <si>
    <t>Салат из солёных огурцов с луком</t>
  </si>
  <si>
    <t xml:space="preserve">Салат из свежих помидоров и огурцов с растительным маслом </t>
  </si>
  <si>
    <t>Борщ с капустой и картофелем</t>
  </si>
  <si>
    <t>Плов с птицей</t>
  </si>
  <si>
    <t xml:space="preserve">Компот из свежих яблок и лимона </t>
  </si>
  <si>
    <t xml:space="preserve">Омлет натуральный с маслом сливочным </t>
  </si>
  <si>
    <t>Суп картофельный с крупой (пшено)</t>
  </si>
  <si>
    <t>Каша рисовая рассыпчатая</t>
  </si>
  <si>
    <t>Фрукт порционно / Груша 1 шт.</t>
  </si>
  <si>
    <t>Макаронный изделия с маслом сливочным</t>
  </si>
  <si>
    <t xml:space="preserve">Рассольник "Ленинградский" с крупой перловой </t>
  </si>
  <si>
    <t>Бифштекс рубленый "Детский"</t>
  </si>
  <si>
    <t>Фрукт порционно / Апельсин 1 шт</t>
  </si>
  <si>
    <t xml:space="preserve">Каша гречневая молочная с маслом сливочным </t>
  </si>
  <si>
    <t>Батон пшеничный</t>
  </si>
  <si>
    <t>Борщ "Сибирский" с фасолью</t>
  </si>
  <si>
    <t>Макаронные изделия с маслом сливочным</t>
  </si>
  <si>
    <t>Кисель из концентрата на плодовых или ягодных экстрактах</t>
  </si>
  <si>
    <t xml:space="preserve">Холодная закуска: Овощи порционно / Огурец свежий </t>
  </si>
  <si>
    <t>Винегрет овощной</t>
  </si>
  <si>
    <t>Суп-лапша домашняя с птицей отварной</t>
  </si>
  <si>
    <t xml:space="preserve">Птица, порционная запечённая </t>
  </si>
  <si>
    <t>Капуста тушеная</t>
  </si>
  <si>
    <t xml:space="preserve">Компот из смеси сухофруктов С- витаминизированный </t>
  </si>
  <si>
    <t>Морковь припущенная</t>
  </si>
  <si>
    <t>Суп картофельный с крупой (рис)</t>
  </si>
  <si>
    <t xml:space="preserve">Жаркое по- домашнему </t>
  </si>
  <si>
    <t xml:space="preserve">Суп картофельный с вермишелью </t>
  </si>
  <si>
    <t>Каша гречневая рассыпчатая с маслом</t>
  </si>
  <si>
    <t>Сок фруктовый**</t>
  </si>
  <si>
    <t>Икра кабачковая (промышленного производства)</t>
  </si>
  <si>
    <t xml:space="preserve">Холодная закуска: Овощи порционно / Огурец </t>
  </si>
  <si>
    <t xml:space="preserve">Тефтели "Детские" под овощным соусом </t>
  </si>
  <si>
    <t>Фрукт порционно / Яблоко 1шт</t>
  </si>
  <si>
    <t xml:space="preserve">Кофейный напиток с сахаром  </t>
  </si>
  <si>
    <t xml:space="preserve">Рыба, запеченная под соусом </t>
  </si>
  <si>
    <t>Салат из белокачанной капусты с морковью</t>
  </si>
  <si>
    <t xml:space="preserve">Морковь свежая </t>
  </si>
  <si>
    <t>или</t>
  </si>
  <si>
    <t>* Салат из квашеной капусты</t>
  </si>
  <si>
    <t>Капуста белокочанная, квашеная</t>
  </si>
  <si>
    <t>СУП КАРТОФЕЛЬНЫЙ С БОБОВЫМИ</t>
  </si>
  <si>
    <t>ВЫХОД:</t>
  </si>
  <si>
    <t xml:space="preserve">СУП КАРТОФЕЛЬНЫЙ С КРУПОЙ (ГРЕЧНЕВОЙ)  </t>
  </si>
  <si>
    <t>с 01.01 по 28.02</t>
  </si>
  <si>
    <t>KPУПA ГРЕЧНЕВАЯ ЯДРИЦА</t>
  </si>
  <si>
    <t>MOPKOBЬ</t>
  </si>
  <si>
    <t>ЛУК РЕПЧАТЫИ</t>
  </si>
  <si>
    <t>МАСЛО ПОДСОЛНЕЧНОЕ РАФИНИРОВАНОЕ</t>
  </si>
  <si>
    <t>СОЛЬ ИОДИРОВАННАЯ</t>
  </si>
  <si>
    <t>ВОДА ПИТЬЕВАЯ</t>
  </si>
  <si>
    <t>Выход: 90</t>
  </si>
  <si>
    <t>Картофельное пюре с маслом сливочным</t>
  </si>
  <si>
    <t>Картофель свежий</t>
  </si>
  <si>
    <t>Компот из смеси сухофруктов С-витаминизированный</t>
  </si>
  <si>
    <t>/Салат из свежих помидоров и огурцов с растительным маслом</t>
  </si>
  <si>
    <t>Помидоры свежие</t>
  </si>
  <si>
    <t>Огурцы свежие</t>
  </si>
  <si>
    <t>Лук зеленый или репчатый</t>
  </si>
  <si>
    <t>или Масло сливочное</t>
  </si>
  <si>
    <t>~ Сметана прокипяченная</t>
  </si>
  <si>
    <t>Плов из птицы</t>
  </si>
  <si>
    <r>
      <t>Грудка ЦБ (охл)</t>
    </r>
    <r>
      <rPr>
        <b/>
        <sz val="9"/>
        <rFont val="Arial"/>
        <family val="2"/>
        <charset val="204"/>
      </rPr>
      <t xml:space="preserve"> ГОСТ 32737-2014</t>
    </r>
  </si>
  <si>
    <t>Томатная пста</t>
  </si>
  <si>
    <t>Компот из яблок и лимона</t>
  </si>
  <si>
    <t>Лимоны</t>
  </si>
  <si>
    <t>2 день 1 неделя</t>
  </si>
  <si>
    <t>3д 1 нед</t>
  </si>
  <si>
    <t>обед</t>
  </si>
  <si>
    <t>или Пшено</t>
  </si>
  <si>
    <t>или Геркулес</t>
  </si>
  <si>
    <t>~ Каша рассыпчатая</t>
  </si>
  <si>
    <t>4 д 1 неделя</t>
  </si>
  <si>
    <t xml:space="preserve">икра кабачковая </t>
  </si>
  <si>
    <t xml:space="preserve">Рассольник ленинградский с крупой перловой </t>
  </si>
  <si>
    <t>вода</t>
  </si>
  <si>
    <t>Огурцы консервированные</t>
  </si>
  <si>
    <t>Бифштекс рубленный  (в соответствии с ГОСТ Р 55366-2012)</t>
  </si>
  <si>
    <r>
      <t xml:space="preserve">Говядина </t>
    </r>
    <r>
      <rPr>
        <b/>
        <sz val="9"/>
        <rFont val="Arial"/>
        <family val="2"/>
        <charset val="204"/>
      </rPr>
      <t>ГОСТ 54754</t>
    </r>
  </si>
  <si>
    <r>
      <t xml:space="preserve">Грудка ЦБ </t>
    </r>
    <r>
      <rPr>
        <b/>
        <sz val="9"/>
        <rFont val="Arial"/>
        <family val="2"/>
        <charset val="204"/>
      </rPr>
      <t>ГОСТ 32737</t>
    </r>
  </si>
  <si>
    <t xml:space="preserve">5д 1 неделя </t>
  </si>
  <si>
    <t xml:space="preserve">обед </t>
  </si>
  <si>
    <t>Масло сладко-сливочное несоленое</t>
  </si>
  <si>
    <t>Жаркое по-домашнему</t>
  </si>
  <si>
    <t>Фасоль красная</t>
  </si>
  <si>
    <t>Томатная паста</t>
  </si>
  <si>
    <t>Зелень сухая</t>
  </si>
  <si>
    <t>Бульон или вода</t>
  </si>
  <si>
    <t>Кисель из концентрата</t>
  </si>
  <si>
    <t>~ Кисель плодово-ягодный</t>
  </si>
  <si>
    <t>~ Масса отварных очищенных овощей</t>
  </si>
  <si>
    <t>~ С использованием огурцов консервированных без уксуса</t>
  </si>
  <si>
    <t>Лук зеленый (перо)</t>
  </si>
  <si>
    <t>~ Масса бланшированного репчатого лука</t>
  </si>
  <si>
    <r>
      <t xml:space="preserve">Окорочок ЦБ (охл) </t>
    </r>
    <r>
      <rPr>
        <b/>
        <sz val="9"/>
        <rFont val="Arial"/>
        <family val="2"/>
        <charset val="204"/>
      </rPr>
      <t>ГОСТ32737-2014</t>
    </r>
  </si>
  <si>
    <t>Капуста белокачанная свежая</t>
  </si>
  <si>
    <t>Лимонная кислота (р-р 3%)</t>
  </si>
  <si>
    <t>3 день 2 нед</t>
  </si>
  <si>
    <t>Суп картофельный с вермишелью (на воде)</t>
  </si>
  <si>
    <t xml:space="preserve"> вода</t>
  </si>
  <si>
    <t>Каша гречневая расыпчатая с маслом</t>
  </si>
  <si>
    <t xml:space="preserve">Сок или нектар или морс или напиток сокосодержащий </t>
  </si>
  <si>
    <t>4 день 2 нед</t>
  </si>
  <si>
    <t>чай с сахаром</t>
  </si>
  <si>
    <t>10день 2 нед</t>
  </si>
  <si>
    <t>6д 2 нед</t>
  </si>
  <si>
    <t>7д 2нед</t>
  </si>
  <si>
    <t>10д 2 нед</t>
  </si>
  <si>
    <t>1 д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</si>
</sst>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&quot; порц&quot;"/>
    <numFmt numFmtId="166" formatCode="0.000"/>
  </numFmts>
  <fonts count="4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8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12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2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5"/>
      <color rgb="FF000000"/>
      <name val="Arial Unicode MS"/>
      <family val="2"/>
      <charset val="204"/>
    </font>
    <font>
      <sz val="8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rgb="FF000000"/>
      <name val="Arial Unicode MS"/>
      <family val="2"/>
      <charset val="204"/>
    </font>
    <font>
      <sz val="9"/>
      <color rgb="FFFF000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0" fontId="34" fillId="0" borderId="0"/>
  </cellStyleXfs>
  <cellXfs count="556">
    <xf numFmtId="0" fontId="0" fillId="0" borderId="0" xfId="0"/>
    <xf numFmtId="0" fontId="2" fillId="0" borderId="1" xfId="0" applyFont="1" applyFill="1" applyBorder="1" applyAlignment="1">
      <alignment horizontal="left" vertical="top"/>
    </xf>
    <xf numFmtId="0" fontId="3" fillId="0" borderId="1" xfId="0" applyNumberFormat="1" applyFont="1" applyFill="1" applyBorder="1" applyAlignment="1" applyProtection="1">
      <alignment horizontal="left" vertical="top" wrapText="1"/>
    </xf>
    <xf numFmtId="0" fontId="3" fillId="0" borderId="1" xfId="0" applyNumberFormat="1" applyFont="1" applyFill="1" applyBorder="1" applyAlignment="1" applyProtection="1">
      <alignment horizontal="left" vertical="top"/>
    </xf>
    <xf numFmtId="0" fontId="5" fillId="0" borderId="0" xfId="0" applyFont="1"/>
    <xf numFmtId="0" fontId="5" fillId="0" borderId="1" xfId="0" applyFont="1" applyBorder="1"/>
    <xf numFmtId="2" fontId="3" fillId="0" borderId="1" xfId="0" applyNumberFormat="1" applyFont="1" applyFill="1" applyBorder="1" applyAlignment="1" applyProtection="1">
      <alignment horizontal="left" vertical="top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right"/>
    </xf>
    <xf numFmtId="0" fontId="5" fillId="0" borderId="4" xfId="0" applyFont="1" applyBorder="1"/>
    <xf numFmtId="0" fontId="0" fillId="0" borderId="1" xfId="0" applyNumberFormat="1" applyFont="1" applyBorder="1" applyAlignment="1"/>
    <xf numFmtId="0" fontId="5" fillId="2" borderId="1" xfId="0" applyFont="1" applyFill="1" applyBorder="1"/>
    <xf numFmtId="0" fontId="5" fillId="2" borderId="0" xfId="0" applyFont="1" applyFill="1"/>
    <xf numFmtId="0" fontId="6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2" fillId="0" borderId="1" xfId="0" applyFont="1" applyBorder="1" applyAlignment="1">
      <alignment horizontal="center" vertical="center" wrapText="1"/>
    </xf>
    <xf numFmtId="0" fontId="8" fillId="0" borderId="0" xfId="0" applyNumberFormat="1" applyFont="1" applyFill="1" applyBorder="1" applyAlignment="1" applyProtection="1">
      <alignment vertical="top"/>
    </xf>
    <xf numFmtId="0" fontId="8" fillId="0" borderId="0" xfId="0" applyNumberFormat="1" applyFont="1" applyFill="1" applyBorder="1" applyAlignment="1" applyProtection="1">
      <alignment horizontal="left" vertical="top"/>
    </xf>
    <xf numFmtId="0" fontId="3" fillId="0" borderId="0" xfId="0" applyNumberFormat="1" applyFont="1" applyFill="1" applyBorder="1" applyAlignment="1" applyProtection="1">
      <alignment horizontal="left" vertical="top"/>
    </xf>
    <xf numFmtId="0" fontId="3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horizontal="right" vertical="top"/>
    </xf>
    <xf numFmtId="0" fontId="5" fillId="0" borderId="0" xfId="0" applyFont="1" applyAlignment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2" fillId="0" borderId="0" xfId="0" applyFont="1" applyAlignment="1">
      <alignment vertical="top"/>
    </xf>
    <xf numFmtId="0" fontId="5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/>
    </xf>
    <xf numFmtId="0" fontId="12" fillId="0" borderId="1" xfId="0" applyNumberFormat="1" applyFont="1" applyFill="1" applyBorder="1" applyAlignment="1" applyProtection="1">
      <alignment horizontal="left" vertical="top"/>
    </xf>
    <xf numFmtId="2" fontId="12" fillId="0" borderId="1" xfId="0" applyNumberFormat="1" applyFont="1" applyFill="1" applyBorder="1" applyAlignment="1" applyProtection="1">
      <alignment horizontal="left" vertical="top"/>
    </xf>
    <xf numFmtId="0" fontId="12" fillId="0" borderId="1" xfId="0" applyFont="1" applyFill="1" applyBorder="1" applyAlignment="1">
      <alignment horizontal="left" vertical="top"/>
    </xf>
    <xf numFmtId="2" fontId="12" fillId="0" borderId="1" xfId="0" applyNumberFormat="1" applyFont="1" applyFill="1" applyBorder="1" applyAlignment="1">
      <alignment horizontal="left" vertical="top"/>
    </xf>
    <xf numFmtId="49" fontId="3" fillId="0" borderId="1" xfId="0" applyNumberFormat="1" applyFont="1" applyFill="1" applyBorder="1" applyAlignment="1" applyProtection="1">
      <alignment horizontal="left" vertical="top"/>
    </xf>
    <xf numFmtId="0" fontId="3" fillId="0" borderId="1" xfId="0" applyNumberFormat="1" applyFont="1" applyFill="1" applyBorder="1" applyAlignment="1" applyProtection="1">
      <alignment horizontal="center" vertical="top"/>
    </xf>
    <xf numFmtId="1" fontId="12" fillId="0" borderId="1" xfId="0" applyNumberFormat="1" applyFont="1" applyFill="1" applyBorder="1" applyAlignment="1">
      <alignment horizontal="left" vertical="top"/>
    </xf>
    <xf numFmtId="1" fontId="1" fillId="0" borderId="1" xfId="0" applyNumberFormat="1" applyFont="1" applyFill="1" applyBorder="1" applyAlignment="1">
      <alignment horizontal="left" vertical="top"/>
    </xf>
    <xf numFmtId="164" fontId="8" fillId="0" borderId="1" xfId="0" applyNumberFormat="1" applyFont="1" applyFill="1" applyBorder="1" applyAlignment="1" applyProtection="1">
      <alignment horizontal="left" vertical="top"/>
    </xf>
    <xf numFmtId="1" fontId="8" fillId="0" borderId="1" xfId="0" applyNumberFormat="1" applyFont="1" applyFill="1" applyBorder="1" applyAlignment="1" applyProtection="1">
      <alignment horizontal="left" vertical="top"/>
    </xf>
    <xf numFmtId="2" fontId="5" fillId="0" borderId="1" xfId="0" applyNumberFormat="1" applyFont="1" applyBorder="1"/>
    <xf numFmtId="0" fontId="5" fillId="0" borderId="1" xfId="0" applyFont="1" applyFill="1" applyBorder="1"/>
    <xf numFmtId="0" fontId="1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top" wrapText="1"/>
    </xf>
    <xf numFmtId="0" fontId="0" fillId="0" borderId="1" xfId="0" applyBorder="1"/>
    <xf numFmtId="0" fontId="5" fillId="0" borderId="1" xfId="0" applyFont="1" applyBorder="1" applyAlignment="1">
      <alignment vertical="top" wrapText="1"/>
    </xf>
    <xf numFmtId="0" fontId="2" fillId="0" borderId="0" xfId="0" applyFont="1"/>
    <xf numFmtId="0" fontId="0" fillId="0" borderId="1" xfId="0" applyNumberFormat="1" applyFont="1" applyBorder="1" applyAlignment="1">
      <alignment horizontal="left"/>
    </xf>
    <xf numFmtId="164" fontId="0" fillId="0" borderId="1" xfId="0" applyNumberFormat="1" applyFont="1" applyBorder="1" applyAlignment="1"/>
    <xf numFmtId="2" fontId="0" fillId="0" borderId="1" xfId="0" applyNumberFormat="1" applyFont="1" applyBorder="1" applyAlignment="1"/>
    <xf numFmtId="0" fontId="0" fillId="0" borderId="1" xfId="0" applyFont="1" applyBorder="1" applyAlignment="1">
      <alignment horizontal="left"/>
    </xf>
    <xf numFmtId="0" fontId="0" fillId="0" borderId="1" xfId="0" applyNumberFormat="1" applyFont="1" applyBorder="1" applyAlignment="1">
      <alignment vertical="center"/>
    </xf>
    <xf numFmtId="0" fontId="0" fillId="2" borderId="0" xfId="0" applyFill="1"/>
    <xf numFmtId="49" fontId="2" fillId="0" borderId="1" xfId="0" applyNumberFormat="1" applyFont="1" applyBorder="1"/>
    <xf numFmtId="49" fontId="2" fillId="0" borderId="7" xfId="0" applyNumberFormat="1" applyFont="1" applyBorder="1"/>
    <xf numFmtId="2" fontId="3" fillId="0" borderId="6" xfId="0" applyNumberFormat="1" applyFont="1" applyFill="1" applyBorder="1" applyAlignment="1" applyProtection="1">
      <alignment horizontal="left" vertical="top"/>
    </xf>
    <xf numFmtId="0" fontId="2" fillId="0" borderId="1" xfId="0" applyFont="1" applyBorder="1"/>
    <xf numFmtId="0" fontId="2" fillId="0" borderId="1" xfId="0" applyFont="1" applyBorder="1" applyAlignment="1">
      <alignment horizontal="left" vertical="center" wrapText="1"/>
    </xf>
    <xf numFmtId="0" fontId="18" fillId="3" borderId="1" xfId="0" applyFont="1" applyFill="1" applyBorder="1" applyAlignment="1">
      <alignment horizontal="left" vertical="top" wrapText="1"/>
    </xf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2" fontId="0" fillId="0" borderId="1" xfId="0" applyNumberFormat="1" applyBorder="1"/>
    <xf numFmtId="164" fontId="0" fillId="4" borderId="1" xfId="0" applyNumberFormat="1" applyFill="1" applyBorder="1"/>
    <xf numFmtId="164" fontId="0" fillId="5" borderId="1" xfId="0" applyNumberFormat="1" applyFill="1" applyBorder="1"/>
    <xf numFmtId="0" fontId="1" fillId="0" borderId="3" xfId="0" applyFont="1" applyFill="1" applyBorder="1" applyAlignment="1">
      <alignment vertical="top"/>
    </xf>
    <xf numFmtId="0" fontId="1" fillId="0" borderId="7" xfId="0" applyFont="1" applyFill="1" applyBorder="1" applyAlignment="1">
      <alignment vertical="top"/>
    </xf>
    <xf numFmtId="0" fontId="0" fillId="0" borderId="0" xfId="0" applyBorder="1"/>
    <xf numFmtId="0" fontId="21" fillId="0" borderId="0" xfId="0" applyNumberFormat="1" applyFont="1" applyFill="1" applyBorder="1" applyAlignment="1" applyProtection="1">
      <alignment vertical="top"/>
    </xf>
    <xf numFmtId="0" fontId="21" fillId="0" borderId="0" xfId="0" applyNumberFormat="1" applyFont="1" applyFill="1" applyBorder="1" applyAlignment="1" applyProtection="1">
      <alignment horizontal="left" vertical="top"/>
    </xf>
    <xf numFmtId="0" fontId="12" fillId="0" borderId="0" xfId="0" applyNumberFormat="1" applyFont="1" applyFill="1" applyBorder="1" applyAlignment="1" applyProtection="1">
      <alignment horizontal="left" vertical="top"/>
    </xf>
    <xf numFmtId="0" fontId="7" fillId="0" borderId="0" xfId="0" applyFont="1" applyFill="1"/>
    <xf numFmtId="0" fontId="12" fillId="0" borderId="0" xfId="0" applyNumberFormat="1" applyFont="1" applyFill="1" applyBorder="1" applyAlignment="1" applyProtection="1">
      <alignment vertical="top"/>
    </xf>
    <xf numFmtId="0" fontId="12" fillId="0" borderId="0" xfId="0" applyNumberFormat="1" applyFont="1" applyFill="1" applyBorder="1" applyAlignment="1" applyProtection="1">
      <alignment horizontal="right" vertical="top"/>
    </xf>
    <xf numFmtId="0" fontId="7" fillId="0" borderId="0" xfId="0" applyFont="1" applyFill="1" applyAlignment="1">
      <alignment vertical="top"/>
    </xf>
    <xf numFmtId="0" fontId="22" fillId="0" borderId="0" xfId="0" applyNumberFormat="1" applyFont="1" applyFill="1" applyBorder="1" applyAlignment="1" applyProtection="1">
      <alignment vertical="center"/>
    </xf>
    <xf numFmtId="0" fontId="23" fillId="0" borderId="0" xfId="0" applyNumberFormat="1" applyFont="1" applyFill="1" applyBorder="1" applyAlignment="1" applyProtection="1">
      <alignment vertical="center"/>
    </xf>
    <xf numFmtId="0" fontId="24" fillId="0" borderId="0" xfId="0" applyNumberFormat="1" applyFont="1" applyFill="1" applyBorder="1" applyAlignment="1" applyProtection="1">
      <alignment vertical="top"/>
    </xf>
    <xf numFmtId="0" fontId="24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>
      <alignment vertical="top"/>
    </xf>
    <xf numFmtId="0" fontId="7" fillId="0" borderId="0" xfId="0" applyNumberFormat="1" applyFont="1" applyFill="1" applyBorder="1" applyAlignment="1" applyProtection="1"/>
    <xf numFmtId="0" fontId="12" fillId="0" borderId="0" xfId="0" applyFont="1" applyFill="1" applyAlignment="1">
      <alignment vertical="top"/>
    </xf>
    <xf numFmtId="0" fontId="21" fillId="0" borderId="1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vertical="top"/>
    </xf>
    <xf numFmtId="0" fontId="21" fillId="0" borderId="3" xfId="0" applyFont="1" applyFill="1" applyBorder="1" applyAlignment="1">
      <alignment vertical="top"/>
    </xf>
    <xf numFmtId="0" fontId="21" fillId="0" borderId="7" xfId="0" applyFont="1" applyFill="1" applyBorder="1" applyAlignment="1">
      <alignment vertical="top"/>
    </xf>
    <xf numFmtId="0" fontId="12" fillId="0" borderId="1" xfId="0" applyFont="1" applyFill="1" applyBorder="1" applyAlignment="1">
      <alignment vertical="top"/>
    </xf>
    <xf numFmtId="0" fontId="12" fillId="0" borderId="1" xfId="0" applyFont="1" applyFill="1" applyBorder="1" applyAlignment="1">
      <alignment horizontal="left" vertical="center" wrapText="1"/>
    </xf>
    <xf numFmtId="49" fontId="12" fillId="0" borderId="7" xfId="0" applyNumberFormat="1" applyFont="1" applyFill="1" applyBorder="1"/>
    <xf numFmtId="2" fontId="12" fillId="0" borderId="6" xfId="0" applyNumberFormat="1" applyFont="1" applyFill="1" applyBorder="1" applyAlignment="1" applyProtection="1">
      <alignment horizontal="left" vertical="top"/>
    </xf>
    <xf numFmtId="0" fontId="12" fillId="0" borderId="1" xfId="0" applyFont="1" applyFill="1" applyBorder="1"/>
    <xf numFmtId="0" fontId="12" fillId="0" borderId="1" xfId="0" applyNumberFormat="1" applyFont="1" applyFill="1" applyBorder="1" applyAlignment="1" applyProtection="1">
      <alignment horizontal="left" vertical="top" wrapText="1"/>
    </xf>
    <xf numFmtId="49" fontId="12" fillId="0" borderId="1" xfId="0" applyNumberFormat="1" applyFont="1" applyFill="1" applyBorder="1"/>
    <xf numFmtId="0" fontId="21" fillId="0" borderId="1" xfId="0" applyFont="1" applyFill="1" applyBorder="1" applyAlignment="1">
      <alignment horizontal="left" vertical="top"/>
    </xf>
    <xf numFmtId="49" fontId="12" fillId="0" borderId="1" xfId="0" applyNumberFormat="1" applyFont="1" applyFill="1" applyBorder="1" applyAlignment="1">
      <alignment horizontal="left" vertical="top"/>
    </xf>
    <xf numFmtId="49" fontId="12" fillId="0" borderId="1" xfId="0" applyNumberFormat="1" applyFont="1" applyFill="1" applyBorder="1" applyAlignment="1" applyProtection="1">
      <alignment horizontal="left" vertical="top"/>
    </xf>
    <xf numFmtId="0" fontId="12" fillId="0" borderId="1" xfId="0" applyNumberFormat="1" applyFont="1" applyFill="1" applyBorder="1" applyAlignment="1" applyProtection="1">
      <alignment horizontal="center" vertical="top"/>
    </xf>
    <xf numFmtId="1" fontId="21" fillId="0" borderId="1" xfId="0" applyNumberFormat="1" applyFont="1" applyFill="1" applyBorder="1" applyAlignment="1">
      <alignment horizontal="left" vertical="top"/>
    </xf>
    <xf numFmtId="164" fontId="21" fillId="0" borderId="1" xfId="0" applyNumberFormat="1" applyFont="1" applyFill="1" applyBorder="1" applyAlignment="1" applyProtection="1">
      <alignment horizontal="left" vertical="top"/>
    </xf>
    <xf numFmtId="1" fontId="21" fillId="0" borderId="1" xfId="0" applyNumberFormat="1" applyFont="1" applyFill="1" applyBorder="1" applyAlignment="1" applyProtection="1">
      <alignment horizontal="left" vertical="top"/>
    </xf>
    <xf numFmtId="0" fontId="25" fillId="0" borderId="0" xfId="0" applyFont="1" applyFill="1"/>
    <xf numFmtId="0" fontId="2" fillId="0" borderId="1" xfId="0" applyFont="1" applyBorder="1" applyAlignment="1">
      <alignment horizontal="center" vertical="center" wrapText="1"/>
    </xf>
    <xf numFmtId="2" fontId="5" fillId="6" borderId="1" xfId="0" applyNumberFormat="1" applyFont="1" applyFill="1" applyBorder="1"/>
    <xf numFmtId="0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0" fontId="26" fillId="0" borderId="0" xfId="0" applyFont="1"/>
    <xf numFmtId="2" fontId="27" fillId="0" borderId="0" xfId="0" applyNumberFormat="1" applyFont="1"/>
    <xf numFmtId="2" fontId="2" fillId="0" borderId="0" xfId="0" applyNumberFormat="1" applyFont="1"/>
    <xf numFmtId="0" fontId="30" fillId="0" borderId="1" xfId="0" applyNumberFormat="1" applyFont="1" applyBorder="1" applyAlignment="1">
      <alignment horizontal="left"/>
    </xf>
    <xf numFmtId="0" fontId="2" fillId="0" borderId="14" xfId="0" applyFont="1" applyBorder="1"/>
    <xf numFmtId="0" fontId="2" fillId="0" borderId="0" xfId="0" applyFont="1" applyBorder="1"/>
    <xf numFmtId="165" fontId="30" fillId="0" borderId="1" xfId="0" applyNumberFormat="1" applyFont="1" applyBorder="1" applyAlignment="1">
      <alignment horizontal="center" vertical="center"/>
    </xf>
    <xf numFmtId="0" fontId="30" fillId="0" borderId="1" xfId="0" applyNumberFormat="1" applyFont="1" applyBorder="1" applyAlignment="1">
      <alignment horizontal="center" vertical="center"/>
    </xf>
    <xf numFmtId="0" fontId="0" fillId="0" borderId="0" xfId="0" applyFont="1" applyBorder="1" applyAlignment="1"/>
    <xf numFmtId="0" fontId="14" fillId="0" borderId="1" xfId="0" applyNumberFormat="1" applyFont="1" applyBorder="1" applyAlignment="1">
      <alignment horizontal="left"/>
    </xf>
    <xf numFmtId="0" fontId="28" fillId="7" borderId="1" xfId="0" applyFont="1" applyFill="1" applyBorder="1" applyAlignment="1">
      <alignment horizontal="center" vertical="top" wrapText="1"/>
    </xf>
    <xf numFmtId="2" fontId="28" fillId="7" borderId="1" xfId="0" applyNumberFormat="1" applyFont="1" applyFill="1" applyBorder="1" applyAlignment="1">
      <alignment horizontal="center" vertical="top" wrapText="1"/>
    </xf>
    <xf numFmtId="0" fontId="26" fillId="0" borderId="1" xfId="0" applyFont="1" applyBorder="1"/>
    <xf numFmtId="2" fontId="5" fillId="2" borderId="1" xfId="0" applyNumberFormat="1" applyFont="1" applyFill="1" applyBorder="1"/>
    <xf numFmtId="2" fontId="26" fillId="2" borderId="1" xfId="0" applyNumberFormat="1" applyFont="1" applyFill="1" applyBorder="1"/>
    <xf numFmtId="0" fontId="15" fillId="0" borderId="1" xfId="0" applyNumberFormat="1" applyFont="1" applyBorder="1" applyAlignment="1">
      <alignment vertical="center"/>
    </xf>
    <xf numFmtId="165" fontId="0" fillId="0" borderId="1" xfId="0" applyNumberFormat="1" applyFont="1" applyBorder="1" applyAlignment="1">
      <alignment vertical="center"/>
    </xf>
    <xf numFmtId="0" fontId="0" fillId="0" borderId="1" xfId="0" applyFont="1" applyBorder="1"/>
    <xf numFmtId="0" fontId="26" fillId="0" borderId="1" xfId="0" applyFont="1" applyBorder="1" applyAlignment="1">
      <alignment vertical="top"/>
    </xf>
    <xf numFmtId="1" fontId="0" fillId="0" borderId="1" xfId="0" applyNumberFormat="1" applyFont="1" applyBorder="1" applyAlignment="1"/>
    <xf numFmtId="0" fontId="29" fillId="0" borderId="1" xfId="0" applyNumberFormat="1" applyFont="1" applyBorder="1" applyAlignment="1">
      <alignment vertical="center"/>
    </xf>
    <xf numFmtId="0" fontId="30" fillId="0" borderId="1" xfId="0" applyFont="1" applyBorder="1"/>
    <xf numFmtId="2" fontId="30" fillId="0" borderId="1" xfId="0" applyNumberFormat="1" applyFont="1" applyBorder="1" applyAlignment="1"/>
    <xf numFmtId="0" fontId="30" fillId="0" borderId="1" xfId="0" applyFont="1" applyBorder="1" applyAlignment="1">
      <alignment horizontal="left"/>
    </xf>
    <xf numFmtId="0" fontId="2" fillId="0" borderId="1" xfId="0" applyFont="1" applyFill="1" applyBorder="1"/>
    <xf numFmtId="2" fontId="26" fillId="8" borderId="1" xfId="0" applyNumberFormat="1" applyFont="1" applyFill="1" applyBorder="1"/>
    <xf numFmtId="0" fontId="31" fillId="0" borderId="1" xfId="0" applyFont="1" applyBorder="1"/>
    <xf numFmtId="0" fontId="12" fillId="0" borderId="1" xfId="0" applyFont="1" applyBorder="1"/>
    <xf numFmtId="0" fontId="7" fillId="0" borderId="1" xfId="0" applyFont="1" applyBorder="1"/>
    <xf numFmtId="2" fontId="27" fillId="0" borderId="1" xfId="0" applyNumberFormat="1" applyFont="1" applyBorder="1"/>
    <xf numFmtId="0" fontId="2" fillId="0" borderId="1" xfId="0" applyFont="1" applyBorder="1" applyAlignment="1">
      <alignment vertical="center"/>
    </xf>
    <xf numFmtId="0" fontId="2" fillId="9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164" fontId="0" fillId="0" borderId="1" xfId="0" applyNumberFormat="1" applyFont="1" applyBorder="1" applyAlignment="1">
      <alignment horizontal="center"/>
    </xf>
    <xf numFmtId="164" fontId="0" fillId="2" borderId="1" xfId="0" applyNumberFormat="1" applyFont="1" applyFill="1" applyBorder="1" applyAlignment="1"/>
    <xf numFmtId="2" fontId="26" fillId="5" borderId="1" xfId="0" applyNumberFormat="1" applyFont="1" applyFill="1" applyBorder="1"/>
    <xf numFmtId="0" fontId="20" fillId="0" borderId="1" xfId="0" applyFont="1" applyBorder="1"/>
    <xf numFmtId="0" fontId="26" fillId="0" borderId="1" xfId="0" applyFont="1" applyFill="1" applyBorder="1"/>
    <xf numFmtId="0" fontId="32" fillId="0" borderId="1" xfId="0" applyFont="1" applyFill="1" applyBorder="1"/>
    <xf numFmtId="0" fontId="33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27" fillId="0" borderId="1" xfId="0" applyFont="1" applyBorder="1"/>
    <xf numFmtId="0" fontId="32" fillId="0" borderId="1" xfId="0" applyFont="1" applyBorder="1"/>
    <xf numFmtId="2" fontId="26" fillId="13" borderId="1" xfId="0" applyNumberFormat="1" applyFont="1" applyFill="1" applyBorder="1"/>
    <xf numFmtId="0" fontId="34" fillId="0" borderId="1" xfId="1" applyFont="1" applyFill="1" applyBorder="1" applyAlignment="1">
      <alignment horizontal="left"/>
    </xf>
    <xf numFmtId="164" fontId="34" fillId="0" borderId="1" xfId="1" applyNumberFormat="1" applyFont="1" applyFill="1" applyBorder="1" applyAlignment="1"/>
    <xf numFmtId="2" fontId="26" fillId="10" borderId="1" xfId="0" applyNumberFormat="1" applyFont="1" applyFill="1" applyBorder="1"/>
    <xf numFmtId="0" fontId="34" fillId="0" borderId="1" xfId="1" applyNumberFormat="1" applyFont="1" applyBorder="1" applyAlignment="1">
      <alignment horizontal="center" vertical="center"/>
    </xf>
    <xf numFmtId="0" fontId="34" fillId="0" borderId="1" xfId="1" applyFont="1" applyBorder="1" applyAlignment="1">
      <alignment horizontal="left"/>
    </xf>
    <xf numFmtId="164" fontId="34" fillId="0" borderId="1" xfId="1" applyNumberFormat="1" applyFont="1" applyBorder="1" applyAlignment="1">
      <alignment horizontal="center"/>
    </xf>
    <xf numFmtId="0" fontId="34" fillId="0" borderId="1" xfId="1" applyNumberFormat="1" applyFont="1" applyBorder="1" applyAlignment="1">
      <alignment horizontal="left"/>
    </xf>
    <xf numFmtId="0" fontId="34" fillId="0" borderId="1" xfId="1" applyNumberFormat="1" applyFont="1" applyBorder="1" applyAlignment="1">
      <alignment horizontal="center"/>
    </xf>
    <xf numFmtId="1" fontId="34" fillId="0" borderId="1" xfId="1" applyNumberFormat="1" applyFont="1" applyBorder="1" applyAlignment="1">
      <alignment horizontal="center"/>
    </xf>
    <xf numFmtId="2" fontId="26" fillId="14" borderId="1" xfId="0" applyNumberFormat="1" applyFont="1" applyFill="1" applyBorder="1"/>
    <xf numFmtId="2" fontId="26" fillId="0" borderId="1" xfId="0" applyNumberFormat="1" applyFont="1" applyBorder="1"/>
    <xf numFmtId="2" fontId="5" fillId="14" borderId="1" xfId="0" applyNumberFormat="1" applyFont="1" applyFill="1" applyBorder="1"/>
    <xf numFmtId="0" fontId="2" fillId="0" borderId="4" xfId="0" applyFont="1" applyBorder="1"/>
    <xf numFmtId="0" fontId="26" fillId="0" borderId="4" xfId="0" applyFont="1" applyBorder="1"/>
    <xf numFmtId="0" fontId="5" fillId="0" borderId="0" xfId="0" applyFont="1" applyBorder="1"/>
    <xf numFmtId="0" fontId="5" fillId="0" borderId="0" xfId="0" applyFont="1" applyBorder="1" applyAlignment="1">
      <alignment horizontal="right"/>
    </xf>
    <xf numFmtId="0" fontId="28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2" fontId="1" fillId="0" borderId="0" xfId="0" applyNumberFormat="1" applyFont="1" applyAlignment="1">
      <alignment horizontal="center" vertical="top" wrapText="1"/>
    </xf>
    <xf numFmtId="0" fontId="6" fillId="0" borderId="0" xfId="0" applyFont="1"/>
    <xf numFmtId="2" fontId="2" fillId="0" borderId="1" xfId="0" applyNumberFormat="1" applyFont="1" applyBorder="1"/>
    <xf numFmtId="2" fontId="20" fillId="0" borderId="1" xfId="0" applyNumberFormat="1" applyFont="1" applyBorder="1"/>
    <xf numFmtId="2" fontId="26" fillId="11" borderId="1" xfId="0" applyNumberFormat="1" applyFont="1" applyFill="1" applyBorder="1"/>
    <xf numFmtId="2" fontId="26" fillId="12" borderId="1" xfId="0" applyNumberFormat="1" applyFont="1" applyFill="1" applyBorder="1"/>
    <xf numFmtId="2" fontId="2" fillId="0" borderId="4" xfId="0" applyNumberFormat="1" applyFont="1" applyBorder="1"/>
    <xf numFmtId="2" fontId="5" fillId="0" borderId="0" xfId="0" applyNumberFormat="1" applyFont="1" applyBorder="1"/>
    <xf numFmtId="2" fontId="5" fillId="0" borderId="0" xfId="0" applyNumberFormat="1" applyFont="1"/>
    <xf numFmtId="2" fontId="6" fillId="0" borderId="1" xfId="0" applyNumberFormat="1" applyFont="1" applyBorder="1" applyAlignment="1">
      <alignment horizontal="center" vertical="top" wrapText="1"/>
    </xf>
    <xf numFmtId="2" fontId="5" fillId="0" borderId="1" xfId="0" applyNumberFormat="1" applyFont="1" applyFill="1" applyBorder="1"/>
    <xf numFmtId="2" fontId="7" fillId="8" borderId="1" xfId="0" applyNumberFormat="1" applyFont="1" applyFill="1" applyBorder="1"/>
    <xf numFmtId="2" fontId="5" fillId="8" borderId="1" xfId="0" applyNumberFormat="1" applyFont="1" applyFill="1" applyBorder="1"/>
    <xf numFmtId="2" fontId="5" fillId="5" borderId="1" xfId="0" applyNumberFormat="1" applyFont="1" applyFill="1" applyBorder="1"/>
    <xf numFmtId="2" fontId="5" fillId="10" borderId="1" xfId="0" applyNumberFormat="1" applyFont="1" applyFill="1" applyBorder="1"/>
    <xf numFmtId="2" fontId="5" fillId="7" borderId="1" xfId="0" applyNumberFormat="1" applyFont="1" applyFill="1" applyBorder="1"/>
    <xf numFmtId="2" fontId="32" fillId="0" borderId="1" xfId="0" applyNumberFormat="1" applyFont="1" applyBorder="1"/>
    <xf numFmtId="2" fontId="5" fillId="11" borderId="1" xfId="0" applyNumberFormat="1" applyFont="1" applyFill="1" applyBorder="1"/>
    <xf numFmtId="2" fontId="5" fillId="12" borderId="1" xfId="0" applyNumberFormat="1" applyFont="1" applyFill="1" applyBorder="1"/>
    <xf numFmtId="2" fontId="5" fillId="13" borderId="1" xfId="0" applyNumberFormat="1" applyFont="1" applyFill="1" applyBorder="1"/>
    <xf numFmtId="2" fontId="32" fillId="8" borderId="1" xfId="0" applyNumberFormat="1" applyFont="1" applyFill="1" applyBorder="1"/>
    <xf numFmtId="2" fontId="5" fillId="11" borderId="4" xfId="0" applyNumberFormat="1" applyFont="1" applyFill="1" applyBorder="1"/>
    <xf numFmtId="0" fontId="26" fillId="2" borderId="1" xfId="0" applyFont="1" applyFill="1" applyBorder="1"/>
    <xf numFmtId="0" fontId="2" fillId="2" borderId="1" xfId="0" applyFont="1" applyFill="1" applyBorder="1"/>
    <xf numFmtId="0" fontId="32" fillId="2" borderId="1" xfId="0" applyFont="1" applyFill="1" applyBorder="1"/>
    <xf numFmtId="0" fontId="27" fillId="2" borderId="1" xfId="0" applyFont="1" applyFill="1" applyBorder="1"/>
    <xf numFmtId="0" fontId="20" fillId="2" borderId="1" xfId="0" applyFont="1" applyFill="1" applyBorder="1"/>
    <xf numFmtId="2" fontId="32" fillId="2" borderId="1" xfId="0" applyNumberFormat="1" applyFont="1" applyFill="1" applyBorder="1"/>
    <xf numFmtId="0" fontId="7" fillId="2" borderId="1" xfId="0" applyFont="1" applyFill="1" applyBorder="1"/>
    <xf numFmtId="0" fontId="12" fillId="0" borderId="4" xfId="0" applyFont="1" applyFill="1" applyBorder="1" applyAlignment="1">
      <alignment horizontal="left" vertical="top"/>
    </xf>
    <xf numFmtId="0" fontId="21" fillId="0" borderId="1" xfId="0" applyFont="1" applyFill="1" applyBorder="1" applyAlignment="1">
      <alignment horizontal="left" vertical="top"/>
    </xf>
    <xf numFmtId="0" fontId="12" fillId="0" borderId="1" xfId="0" applyFont="1" applyFill="1" applyBorder="1" applyAlignment="1">
      <alignment horizontal="left" vertical="top"/>
    </xf>
    <xf numFmtId="0" fontId="21" fillId="0" borderId="4" xfId="0" applyFont="1" applyFill="1" applyBorder="1" applyAlignment="1">
      <alignment horizontal="left" vertical="top"/>
    </xf>
    <xf numFmtId="0" fontId="21" fillId="0" borderId="12" xfId="0" applyFont="1" applyFill="1" applyBorder="1" applyAlignment="1">
      <alignment vertical="top"/>
    </xf>
    <xf numFmtId="0" fontId="35" fillId="0" borderId="1" xfId="0" applyFont="1" applyBorder="1" applyAlignment="1"/>
    <xf numFmtId="0" fontId="35" fillId="0" borderId="1" xfId="0" applyFont="1" applyBorder="1"/>
    <xf numFmtId="0" fontId="35" fillId="0" borderId="0" xfId="0" applyFont="1"/>
    <xf numFmtId="0" fontId="0" fillId="7" borderId="0" xfId="0" applyFill="1"/>
    <xf numFmtId="0" fontId="35" fillId="0" borderId="0" xfId="0" applyNumberFormat="1" applyFont="1" applyBorder="1" applyAlignment="1">
      <alignment horizontal="left"/>
    </xf>
    <xf numFmtId="0" fontId="35" fillId="0" borderId="0" xfId="0" applyNumberFormat="1" applyFont="1" applyBorder="1" applyAlignment="1">
      <alignment horizontal="center"/>
    </xf>
    <xf numFmtId="1" fontId="35" fillId="0" borderId="0" xfId="0" applyNumberFormat="1" applyFont="1" applyBorder="1" applyAlignment="1">
      <alignment horizontal="center"/>
    </xf>
    <xf numFmtId="0" fontId="36" fillId="0" borderId="1" xfId="0" applyFont="1" applyBorder="1"/>
    <xf numFmtId="0" fontId="36" fillId="0" borderId="1" xfId="0" applyFont="1" applyBorder="1" applyAlignment="1">
      <alignment horizontal="center" vertical="center" wrapText="1"/>
    </xf>
    <xf numFmtId="0" fontId="35" fillId="2" borderId="1" xfId="0" applyFont="1" applyFill="1" applyBorder="1" applyAlignment="1"/>
    <xf numFmtId="0" fontId="35" fillId="0" borderId="16" xfId="0" applyFont="1" applyBorder="1" applyAlignment="1"/>
    <xf numFmtId="0" fontId="36" fillId="0" borderId="1" xfId="0" applyFont="1" applyFill="1" applyBorder="1" applyAlignment="1"/>
    <xf numFmtId="0" fontId="36" fillId="0" borderId="0" xfId="0" applyFont="1"/>
    <xf numFmtId="0" fontId="5" fillId="7" borderId="0" xfId="0" applyFont="1" applyFill="1"/>
    <xf numFmtId="0" fontId="36" fillId="0" borderId="1" xfId="0" applyFont="1" applyBorder="1" applyAlignment="1"/>
    <xf numFmtId="0" fontId="35" fillId="0" borderId="18" xfId="0" applyFont="1" applyBorder="1" applyAlignment="1"/>
    <xf numFmtId="164" fontId="35" fillId="0" borderId="12" xfId="0" applyNumberFormat="1" applyFont="1" applyBorder="1" applyAlignment="1"/>
    <xf numFmtId="164" fontId="35" fillId="0" borderId="13" xfId="0" applyNumberFormat="1" applyFont="1" applyBorder="1" applyAlignment="1"/>
    <xf numFmtId="0" fontId="35" fillId="0" borderId="9" xfId="0" applyFont="1" applyBorder="1" applyAlignment="1"/>
    <xf numFmtId="0" fontId="35" fillId="0" borderId="24" xfId="0" applyFont="1" applyBorder="1" applyAlignment="1"/>
    <xf numFmtId="0" fontId="35" fillId="0" borderId="2" xfId="0" applyNumberFormat="1" applyFont="1" applyBorder="1" applyAlignment="1"/>
    <xf numFmtId="0" fontId="35" fillId="0" borderId="3" xfId="0" applyNumberFormat="1" applyFont="1" applyBorder="1" applyAlignment="1"/>
    <xf numFmtId="0" fontId="35" fillId="0" borderId="7" xfId="0" applyNumberFormat="1" applyFont="1" applyBorder="1" applyAlignment="1"/>
    <xf numFmtId="0" fontId="40" fillId="14" borderId="1" xfId="0" applyFont="1" applyFill="1" applyBorder="1" applyAlignment="1"/>
    <xf numFmtId="0" fontId="40" fillId="14" borderId="1" xfId="0" applyFont="1" applyFill="1" applyBorder="1"/>
    <xf numFmtId="0" fontId="40" fillId="14" borderId="0" xfId="0" applyFont="1" applyFill="1"/>
    <xf numFmtId="0" fontId="14" fillId="14" borderId="0" xfId="0" applyFont="1" applyFill="1"/>
    <xf numFmtId="0" fontId="35" fillId="0" borderId="1" xfId="0" applyNumberFormat="1" applyFont="1" applyBorder="1" applyAlignment="1">
      <alignment horizontal="center" vertical="center"/>
    </xf>
    <xf numFmtId="0" fontId="0" fillId="15" borderId="0" xfId="0" applyFill="1"/>
    <xf numFmtId="164" fontId="35" fillId="0" borderId="15" xfId="0" applyNumberFormat="1" applyFont="1" applyBorder="1" applyAlignment="1">
      <alignment horizontal="center"/>
    </xf>
    <xf numFmtId="0" fontId="35" fillId="0" borderId="4" xfId="0" applyNumberFormat="1" applyFont="1" applyBorder="1" applyAlignment="1">
      <alignment horizontal="center" vertical="center"/>
    </xf>
    <xf numFmtId="0" fontId="36" fillId="0" borderId="1" xfId="0" applyFont="1" applyBorder="1" applyAlignment="1">
      <alignment vertical="center" wrapText="1"/>
    </xf>
    <xf numFmtId="164" fontId="35" fillId="0" borderId="26" xfId="0" applyNumberFormat="1" applyFont="1" applyBorder="1" applyAlignment="1"/>
    <xf numFmtId="164" fontId="35" fillId="0" borderId="27" xfId="0" applyNumberFormat="1" applyFont="1" applyBorder="1" applyAlignment="1"/>
    <xf numFmtId="164" fontId="35" fillId="0" borderId="16" xfId="0" applyNumberFormat="1" applyFont="1" applyBorder="1" applyAlignment="1"/>
    <xf numFmtId="164" fontId="35" fillId="0" borderId="17" xfId="0" applyNumberFormat="1" applyFont="1" applyBorder="1" applyAlignment="1"/>
    <xf numFmtId="164" fontId="35" fillId="0" borderId="28" xfId="0" applyNumberFormat="1" applyFont="1" applyBorder="1" applyAlignment="1"/>
    <xf numFmtId="164" fontId="35" fillId="0" borderId="25" xfId="0" applyNumberFormat="1" applyFont="1" applyBorder="1" applyAlignment="1"/>
    <xf numFmtId="0" fontId="35" fillId="14" borderId="1" xfId="0" applyFont="1" applyFill="1" applyBorder="1" applyAlignment="1"/>
    <xf numFmtId="0" fontId="35" fillId="14" borderId="1" xfId="0" applyFont="1" applyFill="1" applyBorder="1"/>
    <xf numFmtId="0" fontId="35" fillId="14" borderId="0" xfId="0" applyFont="1" applyFill="1"/>
    <xf numFmtId="0" fontId="0" fillId="14" borderId="0" xfId="0" applyFill="1"/>
    <xf numFmtId="0" fontId="0" fillId="16" borderId="0" xfId="0" applyFill="1"/>
    <xf numFmtId="164" fontId="35" fillId="0" borderId="1" xfId="0" applyNumberFormat="1" applyFont="1" applyBorder="1" applyAlignment="1"/>
    <xf numFmtId="0" fontId="35" fillId="0" borderId="0" xfId="0" applyNumberFormat="1" applyFont="1" applyBorder="1" applyAlignment="1"/>
    <xf numFmtId="0" fontId="36" fillId="0" borderId="1" xfId="0" applyFont="1" applyBorder="1" applyAlignment="1">
      <alignment vertical="center"/>
    </xf>
    <xf numFmtId="0" fontId="36" fillId="0" borderId="0" xfId="0" applyFont="1" applyBorder="1" applyAlignment="1">
      <alignment horizontal="left" vertical="top"/>
    </xf>
    <xf numFmtId="0" fontId="35" fillId="0" borderId="26" xfId="0" applyFont="1" applyBorder="1" applyAlignment="1">
      <alignment wrapText="1"/>
    </xf>
    <xf numFmtId="0" fontId="35" fillId="0" borderId="16" xfId="0" applyFont="1" applyBorder="1" applyAlignment="1">
      <alignment horizontal="center"/>
    </xf>
    <xf numFmtId="0" fontId="25" fillId="0" borderId="0" xfId="0" applyFont="1"/>
    <xf numFmtId="0" fontId="0" fillId="0" borderId="0" xfId="0" applyFill="1"/>
    <xf numFmtId="0" fontId="37" fillId="0" borderId="0" xfId="0" applyFont="1" applyBorder="1" applyAlignment="1">
      <alignment horizontal="left" vertical="top"/>
    </xf>
    <xf numFmtId="0" fontId="35" fillId="17" borderId="0" xfId="0" applyFont="1" applyFill="1"/>
    <xf numFmtId="0" fontId="0" fillId="17" borderId="0" xfId="0" applyFill="1"/>
    <xf numFmtId="0" fontId="40" fillId="0" borderId="0" xfId="0" applyFont="1"/>
    <xf numFmtId="0" fontId="36" fillId="0" borderId="4" xfId="0" applyFont="1" applyBorder="1" applyAlignment="1">
      <alignment horizontal="center" vertical="center" wrapText="1"/>
    </xf>
    <xf numFmtId="164" fontId="35" fillId="0" borderId="24" xfId="0" applyNumberFormat="1" applyFont="1" applyBorder="1" applyAlignment="1"/>
    <xf numFmtId="0" fontId="35" fillId="0" borderId="28" xfId="0" applyNumberFormat="1" applyFont="1" applyBorder="1" applyAlignment="1"/>
    <xf numFmtId="164" fontId="35" fillId="0" borderId="30" xfId="0" applyNumberFormat="1" applyFont="1" applyBorder="1" applyAlignment="1"/>
    <xf numFmtId="0" fontId="35" fillId="2" borderId="0" xfId="0" applyFont="1" applyFill="1"/>
    <xf numFmtId="0" fontId="14" fillId="0" borderId="0" xfId="0" applyFont="1"/>
    <xf numFmtId="0" fontId="35" fillId="0" borderId="30" xfId="0" applyFont="1" applyBorder="1" applyAlignment="1">
      <alignment horizontal="left"/>
    </xf>
    <xf numFmtId="0" fontId="35" fillId="0" borderId="18" xfId="0" applyFont="1" applyBorder="1" applyAlignment="1">
      <alignment horizontal="left"/>
    </xf>
    <xf numFmtId="0" fontId="36" fillId="0" borderId="0" xfId="0" applyFont="1" applyBorder="1" applyAlignment="1">
      <alignment vertical="center"/>
    </xf>
    <xf numFmtId="0" fontId="35" fillId="0" borderId="0" xfId="0" applyFont="1" applyBorder="1" applyAlignment="1"/>
    <xf numFmtId="0" fontId="35" fillId="0" borderId="0" xfId="0" applyFont="1" applyBorder="1"/>
    <xf numFmtId="164" fontId="35" fillId="0" borderId="0" xfId="0" applyNumberFormat="1" applyFont="1" applyBorder="1" applyAlignment="1"/>
    <xf numFmtId="0" fontId="37" fillId="0" borderId="0" xfId="0" applyFont="1" applyBorder="1" applyAlignment="1">
      <alignment vertical="center"/>
    </xf>
    <xf numFmtId="0" fontId="0" fillId="10" borderId="0" xfId="0" applyFill="1"/>
    <xf numFmtId="0" fontId="5" fillId="10" borderId="0" xfId="0" applyFont="1" applyFill="1"/>
    <xf numFmtId="0" fontId="35" fillId="18" borderId="0" xfId="0" applyFont="1" applyFill="1"/>
    <xf numFmtId="0" fontId="35" fillId="18" borderId="1" xfId="0" applyFont="1" applyFill="1" applyBorder="1" applyAlignment="1"/>
    <xf numFmtId="0" fontId="35" fillId="18" borderId="1" xfId="0" applyFont="1" applyFill="1" applyBorder="1"/>
    <xf numFmtId="0" fontId="0" fillId="18" borderId="0" xfId="0" applyFill="1"/>
    <xf numFmtId="0" fontId="35" fillId="2" borderId="1" xfId="0" applyFont="1" applyFill="1" applyBorder="1"/>
    <xf numFmtId="0" fontId="35" fillId="0" borderId="10" xfId="0" applyFont="1" applyBorder="1" applyAlignment="1"/>
    <xf numFmtId="0" fontId="35" fillId="0" borderId="26" xfId="0" applyFont="1" applyBorder="1" applyAlignment="1"/>
    <xf numFmtId="164" fontId="35" fillId="0" borderId="10" xfId="0" applyNumberFormat="1" applyFont="1" applyBorder="1" applyAlignment="1"/>
    <xf numFmtId="0" fontId="35" fillId="0" borderId="8" xfId="0" applyFont="1" applyBorder="1" applyAlignment="1"/>
    <xf numFmtId="164" fontId="35" fillId="0" borderId="8" xfId="0" applyNumberFormat="1" applyFont="1" applyBorder="1" applyAlignment="1"/>
    <xf numFmtId="164" fontId="35" fillId="0" borderId="9" xfId="0" applyNumberFormat="1" applyFont="1" applyBorder="1" applyAlignment="1"/>
    <xf numFmtId="0" fontId="35" fillId="0" borderId="15" xfId="0" applyFont="1" applyBorder="1"/>
    <xf numFmtId="164" fontId="35" fillId="0" borderId="15" xfId="0" applyNumberFormat="1" applyFont="1" applyBorder="1" applyAlignment="1">
      <alignment horizontal="center"/>
    </xf>
    <xf numFmtId="0" fontId="35" fillId="0" borderId="8" xfId="0" applyFont="1" applyBorder="1" applyAlignment="1">
      <alignment horizontal="left"/>
    </xf>
    <xf numFmtId="0" fontId="35" fillId="0" borderId="16" xfId="0" applyFont="1" applyBorder="1" applyAlignment="1">
      <alignment horizontal="left"/>
    </xf>
    <xf numFmtId="164" fontId="35" fillId="0" borderId="8" xfId="0" applyNumberFormat="1" applyFont="1" applyBorder="1" applyAlignment="1">
      <alignment horizontal="center"/>
    </xf>
    <xf numFmtId="164" fontId="35" fillId="0" borderId="17" xfId="0" applyNumberFormat="1" applyFont="1" applyBorder="1" applyAlignment="1">
      <alignment horizontal="center"/>
    </xf>
    <xf numFmtId="0" fontId="35" fillId="0" borderId="1" xfId="0" applyNumberFormat="1" applyFont="1" applyBorder="1" applyAlignment="1">
      <alignment horizontal="left"/>
    </xf>
    <xf numFmtId="0" fontId="35" fillId="0" borderId="1" xfId="0" applyNumberFormat="1" applyFont="1" applyBorder="1" applyAlignment="1">
      <alignment horizontal="center"/>
    </xf>
    <xf numFmtId="1" fontId="35" fillId="0" borderId="1" xfId="0" applyNumberFormat="1" applyFont="1" applyBorder="1" applyAlignment="1">
      <alignment horizontal="center"/>
    </xf>
    <xf numFmtId="0" fontId="36" fillId="0" borderId="1" xfId="0" applyFont="1" applyBorder="1" applyAlignment="1">
      <alignment horizontal="left" vertical="center" wrapText="1"/>
    </xf>
    <xf numFmtId="0" fontId="37" fillId="0" borderId="1" xfId="0" applyFont="1" applyBorder="1" applyAlignment="1">
      <alignment horizontal="left" vertical="center" wrapText="1"/>
    </xf>
    <xf numFmtId="0" fontId="36" fillId="0" borderId="1" xfId="0" applyFont="1" applyBorder="1" applyAlignment="1">
      <alignment horizontal="center" vertical="center" wrapText="1"/>
    </xf>
    <xf numFmtId="0" fontId="35" fillId="0" borderId="1" xfId="0" applyNumberFormat="1" applyFont="1" applyBorder="1" applyAlignment="1">
      <alignment horizontal="center" vertical="center"/>
    </xf>
    <xf numFmtId="1" fontId="35" fillId="0" borderId="15" xfId="0" applyNumberFormat="1" applyFont="1" applyBorder="1" applyAlignment="1">
      <alignment horizontal="center"/>
    </xf>
    <xf numFmtId="0" fontId="35" fillId="0" borderId="8" xfId="0" applyFont="1" applyBorder="1" applyAlignment="1">
      <alignment horizontal="center"/>
    </xf>
    <xf numFmtId="0" fontId="35" fillId="0" borderId="17" xfId="0" applyFont="1" applyBorder="1" applyAlignment="1">
      <alignment horizontal="center"/>
    </xf>
    <xf numFmtId="2" fontId="35" fillId="0" borderId="15" xfId="0" applyNumberFormat="1" applyFont="1" applyBorder="1" applyAlignment="1">
      <alignment horizontal="center"/>
    </xf>
    <xf numFmtId="2" fontId="35" fillId="0" borderId="8" xfId="0" applyNumberFormat="1" applyFont="1" applyBorder="1" applyAlignment="1">
      <alignment horizontal="center"/>
    </xf>
    <xf numFmtId="2" fontId="35" fillId="0" borderId="17" xfId="0" applyNumberFormat="1" applyFont="1" applyBorder="1" applyAlignment="1">
      <alignment horizontal="center"/>
    </xf>
    <xf numFmtId="0" fontId="35" fillId="0" borderId="30" xfId="0" applyFont="1" applyBorder="1"/>
    <xf numFmtId="0" fontId="35" fillId="0" borderId="18" xfId="0" applyFont="1" applyBorder="1"/>
    <xf numFmtId="164" fontId="35" fillId="0" borderId="10" xfId="0" applyNumberFormat="1" applyFont="1" applyBorder="1" applyAlignment="1">
      <alignment horizontal="center"/>
    </xf>
    <xf numFmtId="164" fontId="35" fillId="0" borderId="27" xfId="0" applyNumberFormat="1" applyFont="1" applyBorder="1" applyAlignment="1">
      <alignment horizontal="center"/>
    </xf>
    <xf numFmtId="0" fontId="35" fillId="0" borderId="9" xfId="0" applyFont="1" applyBorder="1"/>
    <xf numFmtId="0" fontId="35" fillId="0" borderId="24" xfId="0" applyFont="1" applyBorder="1"/>
    <xf numFmtId="2" fontId="35" fillId="0" borderId="9" xfId="0" applyNumberFormat="1" applyFont="1" applyBorder="1" applyAlignment="1">
      <alignment horizontal="center"/>
    </xf>
    <xf numFmtId="2" fontId="35" fillId="0" borderId="25" xfId="0" applyNumberFormat="1" applyFont="1" applyBorder="1" applyAlignment="1">
      <alignment horizontal="center"/>
    </xf>
    <xf numFmtId="0" fontId="35" fillId="0" borderId="1" xfId="0" applyFont="1" applyBorder="1"/>
    <xf numFmtId="164" fontId="35" fillId="0" borderId="1" xfId="0" applyNumberFormat="1" applyFont="1" applyBorder="1" applyAlignment="1">
      <alignment horizontal="center"/>
    </xf>
    <xf numFmtId="0" fontId="40" fillId="0" borderId="1" xfId="0" applyFont="1" applyBorder="1" applyAlignment="1">
      <alignment horizontal="left"/>
    </xf>
    <xf numFmtId="164" fontId="40" fillId="0" borderId="1" xfId="0" applyNumberFormat="1" applyFont="1" applyBorder="1" applyAlignment="1">
      <alignment horizontal="center"/>
    </xf>
    <xf numFmtId="0" fontId="35" fillId="0" borderId="1" xfId="0" applyFont="1" applyBorder="1" applyAlignment="1">
      <alignment horizontal="left"/>
    </xf>
    <xf numFmtId="0" fontId="37" fillId="0" borderId="1" xfId="0" applyFont="1" applyBorder="1" applyAlignment="1">
      <alignment horizontal="left" vertical="center"/>
    </xf>
    <xf numFmtId="0" fontId="36" fillId="0" borderId="2" xfId="0" applyFont="1" applyBorder="1" applyAlignment="1">
      <alignment horizontal="center" vertical="center" wrapText="1"/>
    </xf>
    <xf numFmtId="0" fontId="36" fillId="0" borderId="3" xfId="0" applyFont="1" applyBorder="1" applyAlignment="1">
      <alignment horizontal="center" vertical="center" wrapText="1"/>
    </xf>
    <xf numFmtId="0" fontId="36" fillId="0" borderId="7" xfId="0" applyFont="1" applyBorder="1" applyAlignment="1">
      <alignment horizontal="center" vertical="center" wrapText="1"/>
    </xf>
    <xf numFmtId="0" fontId="16" fillId="0" borderId="1" xfId="0" applyNumberFormat="1" applyFont="1" applyBorder="1" applyAlignment="1">
      <alignment horizontal="left" vertical="center"/>
    </xf>
    <xf numFmtId="0" fontId="36" fillId="0" borderId="1" xfId="0" applyFont="1" applyBorder="1" applyAlignment="1">
      <alignment horizontal="left" vertical="center"/>
    </xf>
    <xf numFmtId="0" fontId="36" fillId="0" borderId="1" xfId="0" applyNumberFormat="1" applyFont="1" applyBorder="1" applyAlignment="1">
      <alignment horizontal="center" vertical="center" wrapText="1"/>
    </xf>
    <xf numFmtId="0" fontId="36" fillId="0" borderId="1" xfId="0" applyFont="1" applyBorder="1" applyAlignment="1">
      <alignment horizontal="left" vertical="top"/>
    </xf>
    <xf numFmtId="0" fontId="37" fillId="0" borderId="1" xfId="0" applyFont="1" applyBorder="1" applyAlignment="1">
      <alignment horizontal="left" vertical="top"/>
    </xf>
    <xf numFmtId="0" fontId="36" fillId="0" borderId="20" xfId="0" applyFont="1" applyBorder="1" applyAlignment="1">
      <alignment horizontal="left" vertical="center"/>
    </xf>
    <xf numFmtId="0" fontId="36" fillId="0" borderId="0" xfId="0" applyFont="1" applyBorder="1" applyAlignment="1">
      <alignment horizontal="left" vertical="center"/>
    </xf>
    <xf numFmtId="164" fontId="35" fillId="0" borderId="16" xfId="0" applyNumberFormat="1" applyFont="1" applyBorder="1" applyAlignment="1">
      <alignment horizontal="center"/>
    </xf>
    <xf numFmtId="0" fontId="36" fillId="0" borderId="20" xfId="0" applyFont="1" applyBorder="1" applyAlignment="1">
      <alignment horizontal="center" vertical="center" wrapText="1"/>
    </xf>
    <xf numFmtId="0" fontId="36" fillId="0" borderId="21" xfId="0" applyFont="1" applyBorder="1" applyAlignment="1">
      <alignment horizontal="center" vertical="center" wrapText="1"/>
    </xf>
    <xf numFmtId="0" fontId="36" fillId="0" borderId="22" xfId="0" applyFont="1" applyBorder="1" applyAlignment="1">
      <alignment horizontal="center" vertical="center" wrapText="1"/>
    </xf>
    <xf numFmtId="0" fontId="36" fillId="0" borderId="23" xfId="0" applyFont="1" applyBorder="1" applyAlignment="1">
      <alignment horizontal="center" vertical="center" wrapText="1"/>
    </xf>
    <xf numFmtId="164" fontId="35" fillId="0" borderId="30" xfId="0" applyNumberFormat="1" applyFont="1" applyBorder="1" applyAlignment="1">
      <alignment horizontal="center"/>
    </xf>
    <xf numFmtId="164" fontId="35" fillId="0" borderId="18" xfId="0" applyNumberFormat="1" applyFont="1" applyBorder="1" applyAlignment="1">
      <alignment horizontal="center"/>
    </xf>
    <xf numFmtId="164" fontId="35" fillId="0" borderId="19" xfId="0" applyNumberFormat="1" applyFont="1" applyBorder="1" applyAlignment="1">
      <alignment horizontal="center"/>
    </xf>
    <xf numFmtId="0" fontId="39" fillId="0" borderId="20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166" fontId="35" fillId="0" borderId="9" xfId="0" applyNumberFormat="1" applyFont="1" applyBorder="1" applyAlignment="1">
      <alignment horizontal="center"/>
    </xf>
    <xf numFmtId="166" fontId="35" fillId="0" borderId="25" xfId="0" applyNumberFormat="1" applyFont="1" applyBorder="1" applyAlignment="1">
      <alignment horizontal="center"/>
    </xf>
    <xf numFmtId="0" fontId="35" fillId="0" borderId="4" xfId="0" applyNumberFormat="1" applyFont="1" applyBorder="1" applyAlignment="1">
      <alignment horizontal="center" vertical="center"/>
    </xf>
    <xf numFmtId="0" fontId="35" fillId="0" borderId="6" xfId="0" applyNumberFormat="1" applyFont="1" applyBorder="1" applyAlignment="1">
      <alignment horizontal="center"/>
    </xf>
    <xf numFmtId="0" fontId="37" fillId="0" borderId="20" xfId="0" applyFont="1" applyBorder="1" applyAlignment="1">
      <alignment horizontal="left" vertical="center"/>
    </xf>
    <xf numFmtId="0" fontId="37" fillId="0" borderId="0" xfId="0" applyFont="1" applyBorder="1" applyAlignment="1">
      <alignment horizontal="left" vertical="center"/>
    </xf>
    <xf numFmtId="0" fontId="36" fillId="0" borderId="0" xfId="0" applyFont="1" applyBorder="1" applyAlignment="1">
      <alignment horizontal="center" vertical="center" wrapText="1"/>
    </xf>
    <xf numFmtId="0" fontId="35" fillId="0" borderId="5" xfId="0" applyNumberFormat="1" applyFont="1" applyBorder="1" applyAlignment="1">
      <alignment horizontal="center" vertical="center"/>
    </xf>
    <xf numFmtId="0" fontId="35" fillId="0" borderId="6" xfId="0" applyNumberFormat="1" applyFont="1" applyBorder="1" applyAlignment="1">
      <alignment horizontal="center" vertical="center"/>
    </xf>
    <xf numFmtId="0" fontId="35" fillId="0" borderId="0" xfId="0" applyNumberFormat="1" applyFont="1" applyBorder="1" applyAlignment="1">
      <alignment horizontal="left"/>
    </xf>
    <xf numFmtId="0" fontId="35" fillId="0" borderId="0" xfId="0" applyNumberFormat="1" applyFont="1" applyBorder="1" applyAlignment="1">
      <alignment horizontal="center"/>
    </xf>
    <xf numFmtId="1" fontId="35" fillId="0" borderId="0" xfId="0" applyNumberFormat="1" applyFont="1" applyBorder="1" applyAlignment="1">
      <alignment horizontal="center"/>
    </xf>
    <xf numFmtId="0" fontId="35" fillId="0" borderId="1" xfId="0" applyNumberFormat="1" applyFont="1" applyBorder="1" applyAlignment="1">
      <alignment horizontal="center" vertical="center"/>
    </xf>
    <xf numFmtId="0" fontId="35" fillId="0" borderId="15" xfId="0" applyFont="1" applyBorder="1"/>
    <xf numFmtId="164" fontId="35" fillId="0" borderId="15" xfId="0" applyNumberFormat="1" applyFont="1" applyBorder="1" applyAlignment="1">
      <alignment horizontal="center"/>
    </xf>
    <xf numFmtId="0" fontId="35" fillId="0" borderId="8" xfId="0" applyFont="1" applyBorder="1" applyAlignment="1">
      <alignment horizontal="left"/>
    </xf>
    <xf numFmtId="0" fontId="35" fillId="0" borderId="16" xfId="0" applyFont="1" applyBorder="1" applyAlignment="1">
      <alignment horizontal="left"/>
    </xf>
    <xf numFmtId="164" fontId="35" fillId="0" borderId="8" xfId="0" applyNumberFormat="1" applyFont="1" applyBorder="1" applyAlignment="1">
      <alignment horizontal="center"/>
    </xf>
    <xf numFmtId="164" fontId="35" fillId="0" borderId="17" xfId="0" applyNumberFormat="1" applyFont="1" applyBorder="1" applyAlignment="1">
      <alignment horizontal="center"/>
    </xf>
    <xf numFmtId="0" fontId="35" fillId="0" borderId="1" xfId="0" applyNumberFormat="1" applyFont="1" applyBorder="1" applyAlignment="1">
      <alignment horizontal="left"/>
    </xf>
    <xf numFmtId="0" fontId="35" fillId="0" borderId="1" xfId="0" applyNumberFormat="1" applyFont="1" applyBorder="1" applyAlignment="1">
      <alignment horizontal="center"/>
    </xf>
    <xf numFmtId="1" fontId="35" fillId="0" borderId="1" xfId="0" applyNumberFormat="1" applyFont="1" applyBorder="1" applyAlignment="1">
      <alignment horizontal="center"/>
    </xf>
    <xf numFmtId="0" fontId="36" fillId="0" borderId="1" xfId="0" applyFont="1" applyBorder="1" applyAlignment="1">
      <alignment horizontal="center" vertical="center" wrapText="1"/>
    </xf>
    <xf numFmtId="164" fontId="35" fillId="0" borderId="16" xfId="0" applyNumberFormat="1" applyFont="1" applyBorder="1" applyAlignment="1">
      <alignment horizontal="center"/>
    </xf>
    <xf numFmtId="0" fontId="36" fillId="0" borderId="20" xfId="0" applyFont="1" applyBorder="1" applyAlignment="1">
      <alignment horizontal="center" vertical="center" wrapText="1"/>
    </xf>
    <xf numFmtId="0" fontId="36" fillId="0" borderId="21" xfId="0" applyFont="1" applyBorder="1" applyAlignment="1">
      <alignment horizontal="center" vertical="center" wrapText="1"/>
    </xf>
    <xf numFmtId="0" fontId="36" fillId="0" borderId="20" xfId="0" applyFont="1" applyBorder="1" applyAlignment="1">
      <alignment horizontal="left" vertical="center"/>
    </xf>
    <xf numFmtId="0" fontId="36" fillId="0" borderId="0" xfId="0" applyFont="1" applyBorder="1" applyAlignment="1">
      <alignment horizontal="left" vertical="center"/>
    </xf>
    <xf numFmtId="0" fontId="36" fillId="0" borderId="22" xfId="0" applyFont="1" applyBorder="1" applyAlignment="1">
      <alignment horizontal="center" vertical="center" wrapText="1"/>
    </xf>
    <xf numFmtId="0" fontId="36" fillId="0" borderId="23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0" fontId="36" fillId="0" borderId="1" xfId="0" applyFont="1" applyBorder="1" applyAlignment="1">
      <alignment horizontal="left" vertical="top"/>
    </xf>
    <xf numFmtId="0" fontId="35" fillId="0" borderId="4" xfId="0" applyNumberFormat="1" applyFont="1" applyBorder="1" applyAlignment="1">
      <alignment horizontal="center" vertical="center"/>
    </xf>
    <xf numFmtId="0" fontId="36" fillId="0" borderId="1" xfId="0" applyFont="1" applyBorder="1" applyAlignment="1">
      <alignment horizontal="left" vertical="center" wrapText="1"/>
    </xf>
    <xf numFmtId="0" fontId="35" fillId="0" borderId="6" xfId="0" applyNumberFormat="1" applyFont="1" applyBorder="1" applyAlignment="1">
      <alignment horizontal="center"/>
    </xf>
    <xf numFmtId="0" fontId="37" fillId="0" borderId="1" xfId="0" applyFont="1" applyBorder="1" applyAlignment="1">
      <alignment horizontal="left" vertical="center" wrapText="1"/>
    </xf>
    <xf numFmtId="164" fontId="35" fillId="0" borderId="30" xfId="0" applyNumberFormat="1" applyFont="1" applyBorder="1" applyAlignment="1">
      <alignment horizontal="center"/>
    </xf>
    <xf numFmtId="164" fontId="35" fillId="0" borderId="18" xfId="0" applyNumberFormat="1" applyFont="1" applyBorder="1" applyAlignment="1">
      <alignment horizontal="center"/>
    </xf>
    <xf numFmtId="164" fontId="35" fillId="0" borderId="19" xfId="0" applyNumberFormat="1" applyFont="1" applyBorder="1" applyAlignment="1">
      <alignment horizontal="center"/>
    </xf>
    <xf numFmtId="0" fontId="35" fillId="0" borderId="8" xfId="0" applyFont="1" applyBorder="1" applyAlignment="1">
      <alignment horizontal="center"/>
    </xf>
    <xf numFmtId="0" fontId="35" fillId="0" borderId="17" xfId="0" applyFont="1" applyBorder="1" applyAlignment="1">
      <alignment horizontal="center"/>
    </xf>
    <xf numFmtId="0" fontId="35" fillId="0" borderId="9" xfId="0" applyFont="1" applyBorder="1"/>
    <xf numFmtId="0" fontId="35" fillId="0" borderId="24" xfId="0" applyFont="1" applyBorder="1"/>
    <xf numFmtId="2" fontId="35" fillId="0" borderId="9" xfId="0" applyNumberFormat="1" applyFont="1" applyBorder="1" applyAlignment="1">
      <alignment horizontal="center"/>
    </xf>
    <xf numFmtId="2" fontId="35" fillId="0" borderId="25" xfId="0" applyNumberFormat="1" applyFont="1" applyBorder="1" applyAlignment="1">
      <alignment horizontal="center"/>
    </xf>
    <xf numFmtId="2" fontId="35" fillId="0" borderId="8" xfId="0" applyNumberFormat="1" applyFont="1" applyBorder="1" applyAlignment="1">
      <alignment horizontal="center"/>
    </xf>
    <xf numFmtId="2" fontId="35" fillId="0" borderId="17" xfId="0" applyNumberFormat="1" applyFont="1" applyBorder="1" applyAlignment="1">
      <alignment horizontal="center"/>
    </xf>
    <xf numFmtId="0" fontId="36" fillId="0" borderId="0" xfId="0" applyFont="1" applyBorder="1" applyAlignment="1">
      <alignment horizontal="center" vertical="center" wrapText="1"/>
    </xf>
    <xf numFmtId="0" fontId="35" fillId="0" borderId="0" xfId="0" applyNumberFormat="1" applyFont="1" applyBorder="1" applyAlignment="1">
      <alignment horizontal="left"/>
    </xf>
    <xf numFmtId="0" fontId="35" fillId="0" borderId="0" xfId="0" applyNumberFormat="1" applyFont="1" applyBorder="1" applyAlignment="1">
      <alignment horizontal="center"/>
    </xf>
    <xf numFmtId="1" fontId="35" fillId="0" borderId="0" xfId="0" applyNumberFormat="1" applyFont="1" applyBorder="1" applyAlignment="1">
      <alignment horizontal="center"/>
    </xf>
    <xf numFmtId="0" fontId="35" fillId="0" borderId="5" xfId="0" applyNumberFormat="1" applyFont="1" applyBorder="1" applyAlignment="1">
      <alignment horizontal="center" vertical="center"/>
    </xf>
    <xf numFmtId="0" fontId="35" fillId="0" borderId="6" xfId="0" applyNumberFormat="1" applyFont="1" applyBorder="1" applyAlignment="1">
      <alignment horizontal="center" vertical="center"/>
    </xf>
    <xf numFmtId="0" fontId="37" fillId="0" borderId="20" xfId="0" applyFont="1" applyBorder="1" applyAlignment="1">
      <alignment horizontal="left" vertical="center"/>
    </xf>
    <xf numFmtId="0" fontId="37" fillId="0" borderId="0" xfId="0" applyFont="1" applyBorder="1" applyAlignment="1">
      <alignment horizontal="left" vertical="center"/>
    </xf>
    <xf numFmtId="166" fontId="35" fillId="0" borderId="9" xfId="0" applyNumberFormat="1" applyFont="1" applyBorder="1" applyAlignment="1">
      <alignment horizontal="center"/>
    </xf>
    <xf numFmtId="166" fontId="35" fillId="0" borderId="25" xfId="0" applyNumberFormat="1" applyFont="1" applyBorder="1" applyAlignment="1">
      <alignment horizontal="center"/>
    </xf>
    <xf numFmtId="0" fontId="36" fillId="0" borderId="1" xfId="0" applyNumberFormat="1" applyFont="1" applyBorder="1" applyAlignment="1">
      <alignment horizontal="center" vertical="center" wrapText="1"/>
    </xf>
    <xf numFmtId="0" fontId="35" fillId="0" borderId="1" xfId="0" applyFont="1" applyBorder="1"/>
    <xf numFmtId="164" fontId="35" fillId="0" borderId="1" xfId="0" applyNumberFormat="1" applyFont="1" applyBorder="1" applyAlignment="1">
      <alignment horizontal="center"/>
    </xf>
    <xf numFmtId="0" fontId="35" fillId="0" borderId="1" xfId="0" applyFont="1" applyBorder="1" applyAlignment="1">
      <alignment horizontal="left"/>
    </xf>
    <xf numFmtId="0" fontId="36" fillId="0" borderId="2" xfId="0" applyFont="1" applyBorder="1" applyAlignment="1">
      <alignment horizontal="center" vertical="center" wrapText="1"/>
    </xf>
    <xf numFmtId="0" fontId="36" fillId="0" borderId="3" xfId="0" applyFont="1" applyBorder="1" applyAlignment="1">
      <alignment horizontal="center" vertical="center" wrapText="1"/>
    </xf>
    <xf numFmtId="0" fontId="36" fillId="0" borderId="7" xfId="0" applyFont="1" applyBorder="1" applyAlignment="1">
      <alignment horizontal="center" vertical="center" wrapText="1"/>
    </xf>
    <xf numFmtId="0" fontId="16" fillId="0" borderId="1" xfId="0" applyNumberFormat="1" applyFont="1" applyBorder="1" applyAlignment="1">
      <alignment horizontal="left" vertical="center"/>
    </xf>
    <xf numFmtId="0" fontId="40" fillId="0" borderId="1" xfId="0" applyFont="1" applyBorder="1" applyAlignment="1">
      <alignment horizontal="left"/>
    </xf>
    <xf numFmtId="164" fontId="40" fillId="0" borderId="1" xfId="0" applyNumberFormat="1" applyFont="1" applyBorder="1" applyAlignment="1">
      <alignment horizontal="center"/>
    </xf>
    <xf numFmtId="0" fontId="35" fillId="0" borderId="30" xfId="0" applyFont="1" applyBorder="1"/>
    <xf numFmtId="0" fontId="35" fillId="0" borderId="18" xfId="0" applyFont="1" applyBorder="1"/>
    <xf numFmtId="164" fontId="35" fillId="0" borderId="10" xfId="0" applyNumberFormat="1" applyFont="1" applyBorder="1" applyAlignment="1">
      <alignment horizontal="center"/>
    </xf>
    <xf numFmtId="164" fontId="35" fillId="0" borderId="27" xfId="0" applyNumberFormat="1" applyFont="1" applyBorder="1" applyAlignment="1">
      <alignment horizontal="center"/>
    </xf>
    <xf numFmtId="2" fontId="35" fillId="0" borderId="15" xfId="0" applyNumberFormat="1" applyFont="1" applyBorder="1" applyAlignment="1">
      <alignment horizontal="center"/>
    </xf>
    <xf numFmtId="1" fontId="35" fillId="0" borderId="15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12" fillId="0" borderId="1" xfId="0" applyFont="1" applyFill="1" applyBorder="1" applyAlignment="1">
      <alignment horizontal="justify" vertical="center" wrapText="1"/>
    </xf>
    <xf numFmtId="0" fontId="1" fillId="0" borderId="2" xfId="0" applyFont="1" applyFill="1" applyBorder="1" applyAlignment="1">
      <alignment horizontal="left" vertical="top"/>
    </xf>
    <xf numFmtId="0" fontId="1" fillId="0" borderId="7" xfId="0" applyFont="1" applyFill="1" applyBorder="1" applyAlignment="1">
      <alignment horizontal="left" vertical="top"/>
    </xf>
    <xf numFmtId="0" fontId="1" fillId="0" borderId="11" xfId="0" applyFont="1" applyFill="1" applyBorder="1" applyAlignment="1">
      <alignment horizontal="left" vertical="top"/>
    </xf>
    <xf numFmtId="164" fontId="35" fillId="0" borderId="17" xfId="0" applyNumberFormat="1" applyFont="1" applyBorder="1" applyAlignment="1">
      <alignment horizontal="center"/>
    </xf>
    <xf numFmtId="0" fontId="35" fillId="0" borderId="1" xfId="0" applyNumberFormat="1" applyFont="1" applyBorder="1" applyAlignment="1">
      <alignment horizontal="left"/>
    </xf>
    <xf numFmtId="1" fontId="35" fillId="0" borderId="1" xfId="0" applyNumberFormat="1" applyFont="1" applyBorder="1" applyAlignment="1">
      <alignment horizontal="center"/>
    </xf>
    <xf numFmtId="0" fontId="36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left" vertical="top"/>
    </xf>
    <xf numFmtId="164" fontId="35" fillId="0" borderId="17" xfId="0" applyNumberFormat="1" applyFont="1" applyBorder="1" applyAlignment="1">
      <alignment horizontal="center"/>
    </xf>
    <xf numFmtId="1" fontId="35" fillId="0" borderId="1" xfId="0" applyNumberFormat="1" applyFont="1" applyBorder="1" applyAlignment="1">
      <alignment horizontal="center"/>
    </xf>
    <xf numFmtId="0" fontId="35" fillId="0" borderId="1" xfId="0" applyNumberFormat="1" applyFont="1" applyBorder="1" applyAlignment="1">
      <alignment horizontal="left"/>
    </xf>
    <xf numFmtId="0" fontId="36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top"/>
    </xf>
    <xf numFmtId="0" fontId="1" fillId="0" borderId="3" xfId="0" applyFont="1" applyFill="1" applyBorder="1" applyAlignment="1">
      <alignment horizontal="left" vertical="top"/>
    </xf>
    <xf numFmtId="0" fontId="1" fillId="0" borderId="11" xfId="0" applyFont="1" applyFill="1" applyBorder="1" applyAlignment="1">
      <alignment horizontal="left" vertical="top"/>
    </xf>
    <xf numFmtId="0" fontId="1" fillId="0" borderId="7" xfId="0" applyFont="1" applyFill="1" applyBorder="1" applyAlignment="1">
      <alignment horizontal="left" vertical="top"/>
    </xf>
    <xf numFmtId="0" fontId="2" fillId="0" borderId="2" xfId="0" applyFont="1" applyFill="1" applyBorder="1" applyAlignment="1">
      <alignment horizontal="justify" vertical="top" wrapText="1"/>
    </xf>
    <xf numFmtId="0" fontId="2" fillId="0" borderId="7" xfId="0" applyFont="1" applyFill="1" applyBorder="1" applyAlignment="1">
      <alignment horizontal="justify" vertical="top" wrapText="1"/>
    </xf>
    <xf numFmtId="0" fontId="2" fillId="2" borderId="2" xfId="0" applyFont="1" applyFill="1" applyBorder="1" applyAlignment="1">
      <alignment horizontal="justify" vertical="top" wrapText="1"/>
    </xf>
    <xf numFmtId="0" fontId="2" fillId="2" borderId="7" xfId="0" applyFont="1" applyFill="1" applyBorder="1" applyAlignment="1">
      <alignment horizontal="justify" vertical="top" wrapText="1"/>
    </xf>
    <xf numFmtId="0" fontId="12" fillId="0" borderId="1" xfId="0" applyFont="1" applyFill="1" applyBorder="1" applyAlignment="1">
      <alignment horizontal="left" vertical="top"/>
    </xf>
    <xf numFmtId="0" fontId="21" fillId="0" borderId="2" xfId="0" applyFont="1" applyFill="1" applyBorder="1" applyAlignment="1">
      <alignment horizontal="left" vertical="top"/>
    </xf>
    <xf numFmtId="0" fontId="21" fillId="0" borderId="7" xfId="0" applyFont="1" applyFill="1" applyBorder="1" applyAlignment="1">
      <alignment horizontal="left" vertical="top"/>
    </xf>
    <xf numFmtId="0" fontId="8" fillId="0" borderId="2" xfId="0" applyNumberFormat="1" applyFont="1" applyFill="1" applyBorder="1" applyAlignment="1" applyProtection="1">
      <alignment horizontal="left" vertical="top" wrapText="1"/>
    </xf>
    <xf numFmtId="0" fontId="8" fillId="0" borderId="3" xfId="0" applyNumberFormat="1" applyFont="1" applyFill="1" applyBorder="1" applyAlignment="1" applyProtection="1">
      <alignment horizontal="left" vertical="top" wrapText="1"/>
    </xf>
    <xf numFmtId="0" fontId="8" fillId="0" borderId="7" xfId="0" applyNumberFormat="1" applyFont="1" applyFill="1" applyBorder="1" applyAlignment="1" applyProtection="1">
      <alignment horizontal="left" vertical="top" wrapText="1"/>
    </xf>
    <xf numFmtId="0" fontId="8" fillId="0" borderId="1" xfId="0" applyNumberFormat="1" applyFont="1" applyFill="1" applyBorder="1" applyAlignment="1" applyProtection="1">
      <alignment horizontal="left" vertical="top" wrapText="1"/>
    </xf>
    <xf numFmtId="0" fontId="21" fillId="0" borderId="1" xfId="0" applyFont="1" applyFill="1" applyBorder="1" applyAlignment="1">
      <alignment horizontal="left" vertical="top"/>
    </xf>
    <xf numFmtId="0" fontId="12" fillId="0" borderId="4" xfId="0" applyFont="1" applyFill="1" applyBorder="1" applyAlignment="1">
      <alignment horizontal="left" vertical="top"/>
    </xf>
    <xf numFmtId="0" fontId="12" fillId="0" borderId="5" xfId="0" applyFont="1" applyFill="1" applyBorder="1" applyAlignment="1">
      <alignment horizontal="left" vertical="top"/>
    </xf>
    <xf numFmtId="0" fontId="12" fillId="0" borderId="6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justify" vertical="center" wrapText="1"/>
    </xf>
    <xf numFmtId="0" fontId="20" fillId="2" borderId="1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>
      <alignment horizontal="justify" vertical="top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justify" vertical="top" wrapText="1"/>
    </xf>
    <xf numFmtId="0" fontId="2" fillId="2" borderId="2" xfId="0" applyFont="1" applyFill="1" applyBorder="1" applyAlignment="1">
      <alignment horizontal="justify" vertical="center" wrapText="1"/>
    </xf>
    <xf numFmtId="0" fontId="2" fillId="2" borderId="7" xfId="0" applyFont="1" applyFill="1" applyBorder="1" applyAlignment="1">
      <alignment horizontal="justify" vertical="center" wrapText="1"/>
    </xf>
    <xf numFmtId="0" fontId="2" fillId="0" borderId="2" xfId="0" applyFont="1" applyFill="1" applyBorder="1" applyAlignment="1">
      <alignment horizontal="justify" vertical="center" wrapText="1"/>
    </xf>
    <xf numFmtId="0" fontId="2" fillId="0" borderId="7" xfId="0" applyFont="1" applyFill="1" applyBorder="1" applyAlignment="1">
      <alignment horizontal="justify" vertical="center" wrapText="1"/>
    </xf>
    <xf numFmtId="0" fontId="21" fillId="0" borderId="4" xfId="0" applyFont="1" applyFill="1" applyBorder="1" applyAlignment="1">
      <alignment horizontal="left" vertical="top"/>
    </xf>
    <xf numFmtId="0" fontId="21" fillId="0" borderId="5" xfId="0" applyFont="1" applyFill="1" applyBorder="1" applyAlignment="1">
      <alignment horizontal="left" vertical="top"/>
    </xf>
    <xf numFmtId="0" fontId="21" fillId="0" borderId="6" xfId="0" applyFont="1" applyFill="1" applyBorder="1" applyAlignment="1">
      <alignment horizontal="left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2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justify" vertical="center" wrapText="1"/>
    </xf>
    <xf numFmtId="0" fontId="24" fillId="0" borderId="0" xfId="0" applyNumberFormat="1" applyFont="1" applyFill="1" applyBorder="1" applyAlignment="1" applyProtection="1">
      <alignment horizontal="center" vertical="top"/>
    </xf>
    <xf numFmtId="0" fontId="9" fillId="0" borderId="0" xfId="0" applyNumberFormat="1" applyFont="1" applyFill="1" applyBorder="1" applyAlignment="1" applyProtection="1">
      <alignment horizontal="center" vertical="top"/>
    </xf>
    <xf numFmtId="0" fontId="10" fillId="0" borderId="0" xfId="0" applyNumberFormat="1" applyFont="1" applyFill="1" applyBorder="1" applyAlignment="1" applyProtection="1">
      <alignment horizontal="center" vertical="top"/>
    </xf>
    <xf numFmtId="0" fontId="22" fillId="0" borderId="0" xfId="0" applyNumberFormat="1" applyFont="1" applyFill="1" applyBorder="1" applyAlignment="1" applyProtection="1">
      <alignment horizontal="center" vertical="top"/>
    </xf>
    <xf numFmtId="0" fontId="23" fillId="0" borderId="0" xfId="0" applyNumberFormat="1" applyFont="1" applyFill="1" applyBorder="1" applyAlignment="1" applyProtection="1">
      <alignment horizontal="center" vertical="top"/>
    </xf>
    <xf numFmtId="0" fontId="20" fillId="0" borderId="2" xfId="0" applyFont="1" applyFill="1" applyBorder="1" applyAlignment="1">
      <alignment horizontal="justify" vertical="top" wrapText="1"/>
    </xf>
    <xf numFmtId="0" fontId="20" fillId="0" borderId="7" xfId="0" applyFont="1" applyFill="1" applyBorder="1" applyAlignment="1">
      <alignment horizontal="justify" vertical="top" wrapText="1"/>
    </xf>
    <xf numFmtId="0" fontId="21" fillId="0" borderId="2" xfId="0" applyNumberFormat="1" applyFont="1" applyFill="1" applyBorder="1" applyAlignment="1" applyProtection="1">
      <alignment horizontal="left" vertical="top" wrapText="1"/>
    </xf>
    <xf numFmtId="0" fontId="21" fillId="0" borderId="3" xfId="0" applyNumberFormat="1" applyFont="1" applyFill="1" applyBorder="1" applyAlignment="1" applyProtection="1">
      <alignment horizontal="left" vertical="top" wrapText="1"/>
    </xf>
    <xf numFmtId="0" fontId="21" fillId="0" borderId="7" xfId="0" applyNumberFormat="1" applyFont="1" applyFill="1" applyBorder="1" applyAlignment="1" applyProtection="1">
      <alignment horizontal="left" vertical="top" wrapText="1"/>
    </xf>
    <xf numFmtId="0" fontId="21" fillId="0" borderId="1" xfId="0" applyNumberFormat="1" applyFont="1" applyFill="1" applyBorder="1" applyAlignment="1" applyProtection="1">
      <alignment horizontal="left" vertical="top" wrapText="1"/>
    </xf>
    <xf numFmtId="0" fontId="20" fillId="0" borderId="1" xfId="0" applyFont="1" applyFill="1" applyBorder="1" applyAlignment="1">
      <alignment horizontal="justify" vertical="center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vertical="top" wrapText="1"/>
    </xf>
    <xf numFmtId="0" fontId="30" fillId="0" borderId="1" xfId="0" applyNumberFormat="1" applyFont="1" applyBorder="1" applyAlignment="1">
      <alignment horizontal="center"/>
    </xf>
    <xf numFmtId="1" fontId="30" fillId="0" borderId="1" xfId="0" applyNumberFormat="1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164" fontId="14" fillId="0" borderId="1" xfId="0" applyNumberFormat="1" applyFont="1" applyBorder="1" applyAlignment="1">
      <alignment horizontal="center"/>
    </xf>
    <xf numFmtId="0" fontId="15" fillId="0" borderId="1" xfId="0" applyNumberFormat="1" applyFont="1" applyBorder="1" applyAlignment="1">
      <alignment horizontal="center" vertical="center"/>
    </xf>
    <xf numFmtId="0" fontId="29" fillId="0" borderId="1" xfId="0" applyNumberFormat="1" applyFont="1" applyBorder="1" applyAlignment="1">
      <alignment horizontal="center" vertical="center"/>
    </xf>
    <xf numFmtId="165" fontId="30" fillId="0" borderId="1" xfId="0" applyNumberFormat="1" applyFont="1" applyBorder="1" applyAlignment="1">
      <alignment horizontal="center" vertical="center"/>
    </xf>
    <xf numFmtId="0" fontId="30" fillId="0" borderId="1" xfId="0" applyNumberFormat="1" applyFont="1" applyBorder="1" applyAlignment="1">
      <alignment horizontal="center" vertical="center"/>
    </xf>
    <xf numFmtId="2" fontId="30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/>
    </xf>
    <xf numFmtId="1" fontId="14" fillId="0" borderId="1" xfId="0" applyNumberFormat="1" applyFont="1" applyBorder="1" applyAlignment="1">
      <alignment horizontal="center"/>
    </xf>
    <xf numFmtId="0" fontId="34" fillId="0" borderId="1" xfId="1" applyNumberFormat="1" applyFont="1" applyBorder="1" applyAlignment="1">
      <alignment horizontal="center" vertical="center"/>
    </xf>
    <xf numFmtId="164" fontId="0" fillId="0" borderId="2" xfId="0" applyNumberFormat="1" applyFont="1" applyBorder="1" applyAlignment="1">
      <alignment horizontal="center"/>
    </xf>
    <xf numFmtId="164" fontId="0" fillId="0" borderId="7" xfId="0" applyNumberFormat="1" applyFont="1" applyBorder="1" applyAlignment="1">
      <alignment horizontal="center"/>
    </xf>
    <xf numFmtId="0" fontId="34" fillId="0" borderId="1" xfId="1" applyFill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164" fontId="34" fillId="0" borderId="1" xfId="1" applyNumberFormat="1" applyFont="1" applyFill="1" applyBorder="1" applyAlignment="1">
      <alignment horizontal="center"/>
    </xf>
    <xf numFmtId="0" fontId="35" fillId="0" borderId="1" xfId="0" applyNumberFormat="1" applyFont="1" applyBorder="1" applyAlignment="1">
      <alignment horizontal="center"/>
    </xf>
    <xf numFmtId="1" fontId="35" fillId="0" borderId="1" xfId="0" applyNumberFormat="1" applyFont="1" applyBorder="1" applyAlignment="1">
      <alignment horizontal="center"/>
    </xf>
    <xf numFmtId="0" fontId="35" fillId="0" borderId="15" xfId="0" applyFont="1" applyBorder="1"/>
    <xf numFmtId="164" fontId="35" fillId="0" borderId="15" xfId="0" applyNumberFormat="1" applyFont="1" applyBorder="1" applyAlignment="1">
      <alignment horizontal="center"/>
    </xf>
    <xf numFmtId="0" fontId="35" fillId="0" borderId="1" xfId="0" applyNumberFormat="1" applyFont="1" applyBorder="1" applyAlignment="1">
      <alignment horizontal="center" vertical="center"/>
    </xf>
    <xf numFmtId="0" fontId="36" fillId="0" borderId="20" xfId="0" applyFont="1" applyBorder="1" applyAlignment="1">
      <alignment horizontal="left" vertical="center"/>
    </xf>
    <xf numFmtId="0" fontId="36" fillId="0" borderId="0" xfId="0" applyFont="1" applyBorder="1" applyAlignment="1">
      <alignment horizontal="left" vertical="center"/>
    </xf>
    <xf numFmtId="0" fontId="36" fillId="0" borderId="20" xfId="0" applyFont="1" applyBorder="1" applyAlignment="1">
      <alignment horizontal="center" vertical="center" wrapText="1"/>
    </xf>
    <xf numFmtId="0" fontId="36" fillId="0" borderId="21" xfId="0" applyFont="1" applyBorder="1" applyAlignment="1">
      <alignment horizontal="center" vertical="center" wrapText="1"/>
    </xf>
    <xf numFmtId="164" fontId="35" fillId="0" borderId="8" xfId="0" applyNumberFormat="1" applyFont="1" applyBorder="1" applyAlignment="1">
      <alignment horizontal="center"/>
    </xf>
    <xf numFmtId="164" fontId="35" fillId="0" borderId="16" xfId="0" applyNumberFormat="1" applyFont="1" applyBorder="1" applyAlignment="1">
      <alignment horizontal="center"/>
    </xf>
    <xf numFmtId="164" fontId="35" fillId="0" borderId="17" xfId="0" applyNumberFormat="1" applyFont="1" applyBorder="1" applyAlignment="1">
      <alignment horizontal="center"/>
    </xf>
    <xf numFmtId="0" fontId="38" fillId="0" borderId="1" xfId="0" applyFont="1" applyBorder="1" applyAlignment="1">
      <alignment horizontal="left" vertical="center"/>
    </xf>
    <xf numFmtId="0" fontId="39" fillId="0" borderId="20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0" fontId="36" fillId="0" borderId="22" xfId="0" applyFont="1" applyBorder="1" applyAlignment="1">
      <alignment horizontal="center" vertical="center" wrapText="1"/>
    </xf>
    <xf numFmtId="0" fontId="36" fillId="0" borderId="23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0" fontId="38" fillId="0" borderId="21" xfId="0" applyFont="1" applyBorder="1" applyAlignment="1">
      <alignment horizontal="center" vertical="center" wrapText="1"/>
    </xf>
    <xf numFmtId="0" fontId="35" fillId="0" borderId="8" xfId="0" applyFont="1" applyBorder="1" applyAlignment="1">
      <alignment horizontal="left"/>
    </xf>
    <xf numFmtId="0" fontId="35" fillId="0" borderId="16" xfId="0" applyFont="1" applyBorder="1" applyAlignment="1">
      <alignment horizontal="left"/>
    </xf>
    <xf numFmtId="0" fontId="35" fillId="0" borderId="1" xfId="0" applyNumberFormat="1" applyFont="1" applyBorder="1" applyAlignment="1">
      <alignment horizontal="left"/>
    </xf>
    <xf numFmtId="164" fontId="35" fillId="0" borderId="30" xfId="0" applyNumberFormat="1" applyFont="1" applyBorder="1" applyAlignment="1">
      <alignment horizontal="center"/>
    </xf>
    <xf numFmtId="164" fontId="35" fillId="0" borderId="18" xfId="0" applyNumberFormat="1" applyFont="1" applyBorder="1" applyAlignment="1">
      <alignment horizontal="center"/>
    </xf>
    <xf numFmtId="164" fontId="35" fillId="0" borderId="19" xfId="0" applyNumberFormat="1" applyFont="1" applyBorder="1" applyAlignment="1">
      <alignment horizontal="center"/>
    </xf>
    <xf numFmtId="0" fontId="35" fillId="0" borderId="8" xfId="0" applyFont="1" applyBorder="1" applyAlignment="1">
      <alignment horizontal="center"/>
    </xf>
    <xf numFmtId="0" fontId="35" fillId="0" borderId="17" xfId="0" applyFont="1" applyBorder="1" applyAlignment="1">
      <alignment horizontal="center"/>
    </xf>
    <xf numFmtId="0" fontId="35" fillId="0" borderId="4" xfId="0" applyNumberFormat="1" applyFont="1" applyBorder="1" applyAlignment="1">
      <alignment horizontal="center" vertical="center"/>
    </xf>
    <xf numFmtId="0" fontId="36" fillId="0" borderId="1" xfId="0" applyFont="1" applyBorder="1" applyAlignment="1">
      <alignment horizontal="left" vertical="center" wrapText="1"/>
    </xf>
    <xf numFmtId="0" fontId="36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37" fillId="0" borderId="1" xfId="0" applyFont="1" applyBorder="1" applyAlignment="1">
      <alignment horizontal="left" vertical="center" wrapText="1"/>
    </xf>
    <xf numFmtId="0" fontId="35" fillId="0" borderId="6" xfId="0" applyNumberFormat="1" applyFont="1" applyBorder="1" applyAlignment="1">
      <alignment horizontal="center"/>
    </xf>
    <xf numFmtId="0" fontId="35" fillId="0" borderId="9" xfId="0" applyFont="1" applyBorder="1"/>
    <xf numFmtId="0" fontId="35" fillId="0" borderId="24" xfId="0" applyFont="1" applyBorder="1"/>
    <xf numFmtId="2" fontId="35" fillId="0" borderId="9" xfId="0" applyNumberFormat="1" applyFont="1" applyBorder="1" applyAlignment="1">
      <alignment horizontal="center"/>
    </xf>
    <xf numFmtId="2" fontId="35" fillId="0" borderId="25" xfId="0" applyNumberFormat="1" applyFont="1" applyBorder="1" applyAlignment="1">
      <alignment horizontal="center"/>
    </xf>
    <xf numFmtId="0" fontId="36" fillId="0" borderId="1" xfId="0" applyFont="1" applyBorder="1" applyAlignment="1">
      <alignment horizontal="left" vertical="top"/>
    </xf>
    <xf numFmtId="0" fontId="35" fillId="0" borderId="28" xfId="0" applyFont="1" applyBorder="1" applyAlignment="1">
      <alignment horizontal="center"/>
    </xf>
    <xf numFmtId="0" fontId="35" fillId="0" borderId="29" xfId="0" applyFont="1" applyBorder="1" applyAlignment="1">
      <alignment horizontal="center"/>
    </xf>
    <xf numFmtId="0" fontId="38" fillId="0" borderId="12" xfId="0" applyFont="1" applyBorder="1" applyAlignment="1">
      <alignment horizontal="center" vertical="center" wrapText="1"/>
    </xf>
    <xf numFmtId="0" fontId="38" fillId="0" borderId="1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9" fillId="4" borderId="4" xfId="0" applyFont="1" applyFill="1" applyBorder="1" applyAlignment="1">
      <alignment horizontal="center" vertical="center" wrapText="1"/>
    </xf>
    <xf numFmtId="0" fontId="19" fillId="4" borderId="6" xfId="0" applyFont="1" applyFill="1" applyBorder="1" applyAlignment="1">
      <alignment horizontal="center" vertical="center" wrapText="1"/>
    </xf>
    <xf numFmtId="0" fontId="19" fillId="5" borderId="4" xfId="0" applyFont="1" applyFill="1" applyBorder="1" applyAlignment="1">
      <alignment horizontal="center" vertical="center" wrapText="1"/>
    </xf>
    <xf numFmtId="0" fontId="19" fillId="5" borderId="6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top" wrapText="1"/>
    </xf>
    <xf numFmtId="0" fontId="10" fillId="3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pbprog.ru/tk/pi-1653" TargetMode="External"/><Relationship Id="rId13" Type="http://schemas.openxmlformats.org/officeDocument/2006/relationships/hyperlink" Target="https://pbprog.ru/tk/pi-1653" TargetMode="External"/><Relationship Id="rId18" Type="http://schemas.openxmlformats.org/officeDocument/2006/relationships/hyperlink" Target="https://pbprog.ru/tk/pi-1651" TargetMode="External"/><Relationship Id="rId3" Type="http://schemas.openxmlformats.org/officeDocument/2006/relationships/hyperlink" Target="https://pbprog.ru/tk/pi-1647" TargetMode="External"/><Relationship Id="rId21" Type="http://schemas.openxmlformats.org/officeDocument/2006/relationships/hyperlink" Target="https://pbprog.ru/tk/pi-1653" TargetMode="External"/><Relationship Id="rId7" Type="http://schemas.openxmlformats.org/officeDocument/2006/relationships/hyperlink" Target="https://pbprog.ru/tk/pi-1183" TargetMode="External"/><Relationship Id="rId12" Type="http://schemas.openxmlformats.org/officeDocument/2006/relationships/hyperlink" Target="https://pbprog.ru/tk/pi-39" TargetMode="External"/><Relationship Id="rId17" Type="http://schemas.openxmlformats.org/officeDocument/2006/relationships/hyperlink" Target="https://pbprog.ru/tk/pi-1183" TargetMode="External"/><Relationship Id="rId25" Type="http://schemas.openxmlformats.org/officeDocument/2006/relationships/printerSettings" Target="../printerSettings/printerSettings2.bin"/><Relationship Id="rId2" Type="http://schemas.openxmlformats.org/officeDocument/2006/relationships/hyperlink" Target="https://pbprog.ru/tk/pi-1183" TargetMode="External"/><Relationship Id="rId16" Type="http://schemas.openxmlformats.org/officeDocument/2006/relationships/hyperlink" Target="https://pbprog.ru/tk/pi-1647" TargetMode="External"/><Relationship Id="rId20" Type="http://schemas.openxmlformats.org/officeDocument/2006/relationships/hyperlink" Target="https://pbprog.ru/tk/pi-1183" TargetMode="External"/><Relationship Id="rId1" Type="http://schemas.openxmlformats.org/officeDocument/2006/relationships/hyperlink" Target="https://pbprog.ru/tk/pi-1651" TargetMode="External"/><Relationship Id="rId6" Type="http://schemas.openxmlformats.org/officeDocument/2006/relationships/hyperlink" Target="https://pbprog.ru/tk/pi-39" TargetMode="External"/><Relationship Id="rId11" Type="http://schemas.openxmlformats.org/officeDocument/2006/relationships/hyperlink" Target="https://pbprog.ru/tk/pi-1183" TargetMode="External"/><Relationship Id="rId24" Type="http://schemas.openxmlformats.org/officeDocument/2006/relationships/hyperlink" Target="https://pbprog.ru/tk/pi-39" TargetMode="External"/><Relationship Id="rId5" Type="http://schemas.openxmlformats.org/officeDocument/2006/relationships/hyperlink" Target="https://pbprog.ru/tk/pi-1206" TargetMode="External"/><Relationship Id="rId15" Type="http://schemas.openxmlformats.org/officeDocument/2006/relationships/hyperlink" Target="https://pbprog.ru/tk/pi-1647" TargetMode="External"/><Relationship Id="rId23" Type="http://schemas.openxmlformats.org/officeDocument/2006/relationships/hyperlink" Target="https://pbprog.ru/tk/pi-1184" TargetMode="External"/><Relationship Id="rId10" Type="http://schemas.openxmlformats.org/officeDocument/2006/relationships/hyperlink" Target="https://pbprog.ru/tk/pi-266" TargetMode="External"/><Relationship Id="rId19" Type="http://schemas.openxmlformats.org/officeDocument/2006/relationships/hyperlink" Target="https://pbprog.ru/tk/pi-206" TargetMode="External"/><Relationship Id="rId4" Type="http://schemas.openxmlformats.org/officeDocument/2006/relationships/hyperlink" Target="https://pbprog.ru/tk/pi-1647" TargetMode="External"/><Relationship Id="rId9" Type="http://schemas.openxmlformats.org/officeDocument/2006/relationships/hyperlink" Target="https://pbprog.ru/tk/pi-1647" TargetMode="External"/><Relationship Id="rId14" Type="http://schemas.openxmlformats.org/officeDocument/2006/relationships/hyperlink" Target="https://pbprog.ru/tk/pi-1184" TargetMode="External"/><Relationship Id="rId22" Type="http://schemas.openxmlformats.org/officeDocument/2006/relationships/hyperlink" Target="https://pbprog.ru/tk/pi-1647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R200"/>
  <sheetViews>
    <sheetView topLeftCell="A23" zoomScale="80" zoomScaleNormal="80" workbookViewId="0">
      <pane ySplit="4" topLeftCell="A45" activePane="bottomLeft" state="frozen"/>
      <selection activeCell="A23" sqref="A23"/>
      <selection pane="bottomLeft" activeCell="T68" sqref="T68"/>
    </sheetView>
  </sheetViews>
  <sheetFormatPr defaultRowHeight="15"/>
  <cols>
    <col min="1" max="1" width="22.28515625" customWidth="1"/>
    <col min="2" max="2" width="9.140625" style="97"/>
    <col min="3" max="3" width="37.5703125" style="97" customWidth="1"/>
    <col min="4" max="4" width="0" style="97" hidden="1" customWidth="1"/>
    <col min="5" max="7" width="9.140625" style="97" hidden="1" customWidth="1"/>
    <col min="8" max="8" width="10.5703125" style="97" hidden="1" customWidth="1"/>
    <col min="9" max="9" width="13.42578125" style="97" hidden="1" customWidth="1"/>
    <col min="10" max="11" width="9.140625" style="97"/>
    <col min="12" max="12" width="37.5703125" style="97" customWidth="1"/>
    <col min="13" max="13" width="0" hidden="1" customWidth="1"/>
    <col min="14" max="17" width="9.140625" hidden="1" customWidth="1"/>
    <col min="18" max="18" width="12.42578125" hidden="1" customWidth="1"/>
  </cols>
  <sheetData>
    <row r="1" spans="2:18">
      <c r="B1" s="65" t="s">
        <v>33</v>
      </c>
      <c r="C1" s="66"/>
      <c r="D1" s="66"/>
      <c r="E1" s="66" t="s">
        <v>34</v>
      </c>
      <c r="F1" s="66"/>
      <c r="G1" s="67"/>
      <c r="H1" s="65"/>
      <c r="I1" s="65"/>
      <c r="J1" s="68"/>
      <c r="K1" s="65" t="s">
        <v>33</v>
      </c>
      <c r="L1" s="66"/>
      <c r="M1" s="18"/>
      <c r="N1" s="18" t="s">
        <v>34</v>
      </c>
      <c r="O1" s="18"/>
      <c r="P1" s="19"/>
      <c r="Q1" s="17"/>
      <c r="R1" s="17"/>
    </row>
    <row r="2" spans="2:18">
      <c r="B2" s="65" t="s">
        <v>35</v>
      </c>
      <c r="C2" s="66"/>
      <c r="D2" s="66"/>
      <c r="E2" s="66" t="s">
        <v>36</v>
      </c>
      <c r="F2" s="66"/>
      <c r="G2" s="67"/>
      <c r="H2" s="65"/>
      <c r="I2" s="65"/>
      <c r="J2" s="68"/>
      <c r="K2" s="65" t="s">
        <v>35</v>
      </c>
      <c r="L2" s="66"/>
      <c r="M2" s="18"/>
      <c r="N2" s="18" t="s">
        <v>36</v>
      </c>
      <c r="O2" s="18"/>
      <c r="P2" s="19"/>
      <c r="Q2" s="17"/>
      <c r="R2" s="17"/>
    </row>
    <row r="3" spans="2:18">
      <c r="B3" s="65" t="s">
        <v>37</v>
      </c>
      <c r="C3" s="66"/>
      <c r="D3" s="66"/>
      <c r="E3" s="66" t="s">
        <v>38</v>
      </c>
      <c r="F3" s="66"/>
      <c r="G3" s="67"/>
      <c r="H3" s="65"/>
      <c r="I3" s="65"/>
      <c r="J3" s="68"/>
      <c r="K3" s="65" t="s">
        <v>37</v>
      </c>
      <c r="L3" s="66"/>
      <c r="M3" s="18"/>
      <c r="N3" s="18" t="s">
        <v>38</v>
      </c>
      <c r="O3" s="18"/>
      <c r="P3" s="19"/>
      <c r="Q3" s="17"/>
      <c r="R3" s="17"/>
    </row>
    <row r="4" spans="2:18" hidden="1">
      <c r="B4" s="65" t="s">
        <v>39</v>
      </c>
      <c r="C4" s="66"/>
      <c r="D4" s="66"/>
      <c r="E4" s="66"/>
      <c r="F4" s="66"/>
      <c r="G4" s="66"/>
      <c r="H4" s="66"/>
      <c r="I4" s="66"/>
      <c r="J4" s="68"/>
      <c r="K4" s="65" t="s">
        <v>39</v>
      </c>
      <c r="L4" s="66"/>
      <c r="M4" s="18"/>
      <c r="N4" s="18"/>
      <c r="O4" s="18"/>
      <c r="P4" s="18"/>
      <c r="Q4" s="18"/>
      <c r="R4" s="18"/>
    </row>
    <row r="5" spans="2:18" hidden="1">
      <c r="B5" s="65"/>
      <c r="C5" s="66"/>
      <c r="D5" s="66"/>
      <c r="E5" s="66"/>
      <c r="F5" s="66"/>
      <c r="G5" s="66"/>
      <c r="H5" s="66"/>
      <c r="I5" s="66"/>
      <c r="J5" s="68"/>
      <c r="K5" s="65"/>
      <c r="L5" s="66"/>
      <c r="M5" s="18"/>
      <c r="N5" s="18"/>
      <c r="O5" s="18"/>
      <c r="P5" s="18"/>
      <c r="Q5" s="18"/>
      <c r="R5" s="18"/>
    </row>
    <row r="6" spans="2:18" hidden="1">
      <c r="B6" s="65"/>
      <c r="C6" s="66"/>
      <c r="D6" s="66"/>
      <c r="E6" s="66"/>
      <c r="F6" s="66"/>
      <c r="G6" s="66"/>
      <c r="H6" s="66"/>
      <c r="I6" s="66"/>
      <c r="J6" s="68"/>
      <c r="K6" s="65"/>
      <c r="L6" s="66"/>
      <c r="M6" s="18"/>
      <c r="N6" s="18"/>
      <c r="O6" s="18"/>
      <c r="P6" s="18"/>
      <c r="Q6" s="18"/>
      <c r="R6" s="18"/>
    </row>
    <row r="7" spans="2:18" hidden="1">
      <c r="B7" s="69" t="s">
        <v>40</v>
      </c>
      <c r="C7" s="70" t="s">
        <v>41</v>
      </c>
      <c r="D7" s="71"/>
      <c r="E7" s="69" t="s">
        <v>42</v>
      </c>
      <c r="F7" s="67"/>
      <c r="G7" s="67"/>
      <c r="H7" s="69"/>
      <c r="I7" s="70" t="s">
        <v>43</v>
      </c>
      <c r="J7" s="68"/>
      <c r="K7" s="69" t="s">
        <v>40</v>
      </c>
      <c r="L7" s="70" t="s">
        <v>41</v>
      </c>
      <c r="M7" s="22"/>
      <c r="N7" s="20" t="s">
        <v>42</v>
      </c>
      <c r="O7" s="19"/>
      <c r="P7" s="19"/>
      <c r="Q7" s="20"/>
      <c r="R7" s="21" t="s">
        <v>43</v>
      </c>
    </row>
    <row r="8" spans="2:18" hidden="1"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18"/>
      <c r="N8" s="18"/>
      <c r="O8" s="18"/>
      <c r="P8" s="18"/>
      <c r="Q8" s="18"/>
      <c r="R8" s="18"/>
    </row>
    <row r="9" spans="2:18" hidden="1"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18"/>
      <c r="N9" s="18"/>
      <c r="O9" s="18"/>
      <c r="P9" s="18"/>
      <c r="Q9" s="18"/>
      <c r="R9" s="18"/>
    </row>
    <row r="10" spans="2:18" hidden="1"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19"/>
      <c r="N10" s="19"/>
      <c r="O10" s="19"/>
      <c r="P10" s="19"/>
      <c r="Q10" s="19"/>
      <c r="R10" s="19"/>
    </row>
    <row r="11" spans="2:18" hidden="1"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19"/>
      <c r="N11" s="19"/>
      <c r="O11" s="19"/>
      <c r="P11" s="19"/>
      <c r="Q11" s="19"/>
      <c r="R11" s="19"/>
    </row>
    <row r="12" spans="2:18" ht="20.25" hidden="1">
      <c r="B12" s="465" t="s">
        <v>44</v>
      </c>
      <c r="C12" s="465"/>
      <c r="D12" s="465"/>
      <c r="E12" s="465"/>
      <c r="F12" s="465"/>
      <c r="G12" s="465"/>
      <c r="H12" s="465"/>
      <c r="I12" s="465"/>
      <c r="J12" s="72"/>
      <c r="K12" s="463" t="s">
        <v>44</v>
      </c>
      <c r="L12" s="463"/>
      <c r="M12" s="463"/>
      <c r="N12" s="463"/>
      <c r="O12" s="463"/>
      <c r="P12" s="463"/>
      <c r="Q12" s="463"/>
      <c r="R12" s="463"/>
    </row>
    <row r="13" spans="2:18" ht="15.75" hidden="1">
      <c r="B13" s="466" t="s">
        <v>45</v>
      </c>
      <c r="C13" s="466"/>
      <c r="D13" s="466"/>
      <c r="E13" s="466"/>
      <c r="F13" s="466"/>
      <c r="G13" s="466"/>
      <c r="H13" s="466"/>
      <c r="I13" s="466"/>
      <c r="J13" s="73"/>
      <c r="K13" s="464" t="s">
        <v>45</v>
      </c>
      <c r="L13" s="464"/>
      <c r="M13" s="464"/>
      <c r="N13" s="464"/>
      <c r="O13" s="464"/>
      <c r="P13" s="464"/>
      <c r="Q13" s="464"/>
      <c r="R13" s="464"/>
    </row>
    <row r="14" spans="2:18" ht="15.75" hidden="1">
      <c r="B14" s="466" t="s">
        <v>46</v>
      </c>
      <c r="C14" s="466"/>
      <c r="D14" s="466"/>
      <c r="E14" s="466"/>
      <c r="F14" s="466"/>
      <c r="G14" s="466"/>
      <c r="H14" s="466"/>
      <c r="I14" s="466"/>
      <c r="J14" s="73"/>
      <c r="K14" s="464" t="s">
        <v>46</v>
      </c>
      <c r="L14" s="464"/>
      <c r="M14" s="464"/>
      <c r="N14" s="464"/>
      <c r="O14" s="464"/>
      <c r="P14" s="464"/>
      <c r="Q14" s="464"/>
      <c r="R14" s="464"/>
    </row>
    <row r="15" spans="2:18" ht="15.75" hidden="1">
      <c r="B15" s="466" t="s">
        <v>47</v>
      </c>
      <c r="C15" s="466"/>
      <c r="D15" s="466"/>
      <c r="E15" s="466"/>
      <c r="F15" s="466"/>
      <c r="G15" s="466"/>
      <c r="H15" s="466"/>
      <c r="I15" s="466"/>
      <c r="J15" s="73"/>
      <c r="K15" s="464" t="s">
        <v>47</v>
      </c>
      <c r="L15" s="464"/>
      <c r="M15" s="464"/>
      <c r="N15" s="464"/>
      <c r="O15" s="464"/>
      <c r="P15" s="464"/>
      <c r="Q15" s="464"/>
      <c r="R15" s="464"/>
    </row>
    <row r="16" spans="2:18" ht="15.75" hidden="1">
      <c r="B16" s="466" t="s">
        <v>48</v>
      </c>
      <c r="C16" s="466"/>
      <c r="D16" s="466"/>
      <c r="E16" s="466"/>
      <c r="F16" s="466"/>
      <c r="G16" s="466"/>
      <c r="H16" s="466"/>
      <c r="I16" s="466"/>
      <c r="J16" s="73"/>
      <c r="K16" s="464" t="s">
        <v>48</v>
      </c>
      <c r="L16" s="464"/>
      <c r="M16" s="464"/>
      <c r="N16" s="464"/>
      <c r="O16" s="464"/>
      <c r="P16" s="464"/>
      <c r="Q16" s="464"/>
      <c r="R16" s="464"/>
    </row>
    <row r="17" spans="2:18" hidden="1">
      <c r="B17" s="462" t="s">
        <v>49</v>
      </c>
      <c r="C17" s="462"/>
      <c r="D17" s="462"/>
      <c r="E17" s="462"/>
      <c r="F17" s="462"/>
      <c r="G17" s="462"/>
      <c r="H17" s="462"/>
      <c r="I17" s="462"/>
      <c r="J17" s="74"/>
      <c r="K17" s="458" t="s">
        <v>49</v>
      </c>
      <c r="L17" s="458"/>
      <c r="M17" s="458"/>
      <c r="N17" s="458"/>
      <c r="O17" s="458"/>
      <c r="P17" s="458"/>
      <c r="Q17" s="458"/>
      <c r="R17" s="458"/>
    </row>
    <row r="18" spans="2:18" hidden="1">
      <c r="B18" s="462" t="s">
        <v>50</v>
      </c>
      <c r="C18" s="462"/>
      <c r="D18" s="462"/>
      <c r="E18" s="462"/>
      <c r="F18" s="462"/>
      <c r="G18" s="462"/>
      <c r="H18" s="462"/>
      <c r="I18" s="462"/>
      <c r="J18" s="75"/>
      <c r="K18" s="458" t="s">
        <v>50</v>
      </c>
      <c r="L18" s="458"/>
      <c r="M18" s="458"/>
      <c r="N18" s="458"/>
      <c r="O18" s="458"/>
      <c r="P18" s="458"/>
      <c r="Q18" s="458"/>
      <c r="R18" s="458"/>
    </row>
    <row r="19" spans="2:18" hidden="1">
      <c r="B19" s="76"/>
      <c r="C19" s="76"/>
      <c r="D19" s="76"/>
      <c r="E19" s="76"/>
      <c r="F19" s="76"/>
      <c r="G19" s="76"/>
      <c r="H19" s="76"/>
      <c r="I19" s="76"/>
      <c r="J19" s="77"/>
      <c r="K19" s="76"/>
      <c r="L19" s="76"/>
      <c r="M19" s="23"/>
      <c r="N19" s="23"/>
      <c r="O19" s="23"/>
      <c r="P19" s="23"/>
      <c r="Q19" s="23"/>
      <c r="R19" s="23"/>
    </row>
    <row r="20" spans="2:18" hidden="1">
      <c r="B20" s="76"/>
      <c r="C20" s="76"/>
      <c r="D20" s="76"/>
      <c r="E20" s="76"/>
      <c r="F20" s="76"/>
      <c r="G20" s="76"/>
      <c r="H20" s="76"/>
      <c r="I20" s="76"/>
      <c r="J20" s="77"/>
      <c r="K20" s="76"/>
      <c r="L20" s="76"/>
      <c r="M20" s="23"/>
      <c r="N20" s="23"/>
      <c r="O20" s="23"/>
      <c r="P20" s="23"/>
      <c r="Q20" s="23"/>
      <c r="R20" s="23"/>
    </row>
    <row r="21" spans="2:18" hidden="1">
      <c r="B21" s="76"/>
      <c r="C21" s="76"/>
      <c r="D21" s="76"/>
      <c r="E21" s="76"/>
      <c r="F21" s="76"/>
      <c r="G21" s="76"/>
      <c r="H21" s="76"/>
      <c r="I21" s="76"/>
      <c r="J21" s="77"/>
      <c r="K21" s="76"/>
      <c r="L21" s="76"/>
      <c r="M21" s="23"/>
      <c r="N21" s="23"/>
      <c r="O21" s="23"/>
      <c r="P21" s="23"/>
      <c r="Q21" s="23"/>
      <c r="R21" s="23"/>
    </row>
    <row r="22" spans="2:18" hidden="1">
      <c r="B22" s="76"/>
      <c r="C22" s="76"/>
      <c r="D22" s="76"/>
      <c r="E22" s="76"/>
      <c r="F22" s="76"/>
      <c r="G22" s="76"/>
      <c r="H22" s="76"/>
      <c r="I22" s="76"/>
      <c r="J22" s="77"/>
      <c r="K22" s="76"/>
      <c r="L22" s="76"/>
      <c r="M22" s="23"/>
      <c r="N22" s="23"/>
      <c r="O22" s="23"/>
      <c r="P22" s="23"/>
      <c r="Q22" s="23"/>
      <c r="R22" s="23"/>
    </row>
    <row r="23" spans="2:18">
      <c r="B23" s="65" t="s">
        <v>51</v>
      </c>
      <c r="C23" s="69"/>
      <c r="D23" s="69"/>
      <c r="E23" s="69"/>
      <c r="F23" s="69"/>
      <c r="G23" s="69"/>
      <c r="H23" s="69"/>
      <c r="I23" s="69"/>
      <c r="J23" s="77"/>
      <c r="K23" s="65" t="s">
        <v>91</v>
      </c>
      <c r="L23" s="69"/>
      <c r="M23" s="20"/>
      <c r="N23" s="20"/>
      <c r="O23" s="20"/>
      <c r="P23" s="20"/>
      <c r="Q23" s="20"/>
      <c r="R23" s="20"/>
    </row>
    <row r="24" spans="2:18">
      <c r="B24" s="78"/>
      <c r="C24" s="78"/>
      <c r="D24" s="78"/>
      <c r="E24" s="78"/>
      <c r="F24" s="78"/>
      <c r="G24" s="78"/>
      <c r="H24" s="78"/>
      <c r="I24" s="78"/>
      <c r="J24" s="68"/>
      <c r="K24" s="78"/>
      <c r="L24" s="78"/>
      <c r="M24" s="24"/>
      <c r="N24" s="24"/>
      <c r="O24" s="24"/>
      <c r="P24" s="24"/>
      <c r="Q24" s="24"/>
      <c r="R24" s="24"/>
    </row>
    <row r="25" spans="2:18">
      <c r="B25" s="459" t="s">
        <v>0</v>
      </c>
      <c r="C25" s="459" t="s">
        <v>1</v>
      </c>
      <c r="D25" s="459" t="s">
        <v>2</v>
      </c>
      <c r="E25" s="459" t="s">
        <v>7</v>
      </c>
      <c r="F25" s="459"/>
      <c r="G25" s="459"/>
      <c r="H25" s="459" t="s">
        <v>8</v>
      </c>
      <c r="I25" s="459" t="s">
        <v>9</v>
      </c>
      <c r="J25" s="68"/>
      <c r="K25" s="459" t="s">
        <v>0</v>
      </c>
      <c r="L25" s="459" t="s">
        <v>1</v>
      </c>
      <c r="M25" s="460" t="s">
        <v>2</v>
      </c>
      <c r="N25" s="460" t="s">
        <v>7</v>
      </c>
      <c r="O25" s="460"/>
      <c r="P25" s="460"/>
      <c r="Q25" s="460" t="s">
        <v>8</v>
      </c>
      <c r="R25" s="460" t="s">
        <v>9</v>
      </c>
    </row>
    <row r="26" spans="2:18" ht="25.5">
      <c r="B26" s="459"/>
      <c r="C26" s="459"/>
      <c r="D26" s="459"/>
      <c r="E26" s="79" t="s">
        <v>10</v>
      </c>
      <c r="F26" s="79" t="s">
        <v>11</v>
      </c>
      <c r="G26" s="79" t="s">
        <v>12</v>
      </c>
      <c r="H26" s="459"/>
      <c r="I26" s="459"/>
      <c r="J26" s="68"/>
      <c r="K26" s="459"/>
      <c r="L26" s="459"/>
      <c r="M26" s="460"/>
      <c r="N26" s="26" t="s">
        <v>10</v>
      </c>
      <c r="O26" s="26" t="s">
        <v>11</v>
      </c>
      <c r="P26" s="26" t="s">
        <v>12</v>
      </c>
      <c r="Q26" s="460"/>
      <c r="R26" s="460"/>
    </row>
    <row r="27" spans="2:18">
      <c r="B27" s="80" t="s">
        <v>52</v>
      </c>
      <c r="C27" s="81"/>
      <c r="D27" s="81"/>
      <c r="E27" s="81"/>
      <c r="F27" s="81"/>
      <c r="G27" s="81"/>
      <c r="H27" s="81"/>
      <c r="I27" s="82"/>
      <c r="J27" s="68"/>
      <c r="K27" s="426" t="s">
        <v>52</v>
      </c>
      <c r="L27" s="427"/>
      <c r="M27" s="427"/>
      <c r="N27" s="427"/>
      <c r="O27" s="427"/>
      <c r="P27" s="427"/>
      <c r="Q27" s="427"/>
      <c r="R27" s="429"/>
    </row>
    <row r="28" spans="2:18" ht="14.25" customHeight="1">
      <c r="B28" s="80" t="s">
        <v>53</v>
      </c>
      <c r="C28" s="445"/>
      <c r="D28" s="445"/>
      <c r="E28" s="81"/>
      <c r="F28" s="81"/>
      <c r="G28" s="81"/>
      <c r="H28" s="81"/>
      <c r="I28" s="82"/>
      <c r="J28" s="68"/>
      <c r="K28" s="426" t="s">
        <v>53</v>
      </c>
      <c r="L28" s="427"/>
      <c r="M28" s="427"/>
      <c r="N28" s="428"/>
      <c r="O28" s="428"/>
      <c r="P28" s="428"/>
      <c r="Q28" s="428"/>
      <c r="R28" s="429"/>
    </row>
    <row r="29" spans="2:18" ht="14.25" customHeight="1">
      <c r="B29" s="80"/>
      <c r="C29" s="445" t="s">
        <v>273</v>
      </c>
      <c r="D29" s="445"/>
      <c r="E29" s="81"/>
      <c r="F29" s="81"/>
      <c r="G29" s="81"/>
      <c r="H29" s="81"/>
      <c r="I29" s="82"/>
      <c r="J29" s="68"/>
      <c r="K29" s="412"/>
      <c r="L29" s="445" t="s">
        <v>273</v>
      </c>
      <c r="M29" s="445"/>
      <c r="N29" s="414"/>
      <c r="O29" s="414"/>
      <c r="P29" s="414"/>
      <c r="Q29" s="414"/>
      <c r="R29" s="413"/>
    </row>
    <row r="30" spans="2:18" ht="14.25" customHeight="1">
      <c r="B30" s="434" t="s">
        <v>3</v>
      </c>
      <c r="C30" s="410" t="s">
        <v>274</v>
      </c>
      <c r="D30" s="410"/>
      <c r="E30" s="84">
        <v>5.98</v>
      </c>
      <c r="F30" s="84">
        <v>7.53</v>
      </c>
      <c r="G30" s="84">
        <v>15.72</v>
      </c>
      <c r="H30" s="84">
        <v>157.15</v>
      </c>
      <c r="I30" s="85" t="s">
        <v>24</v>
      </c>
      <c r="J30" s="68"/>
      <c r="K30" s="434" t="s">
        <v>3</v>
      </c>
      <c r="L30" s="445" t="s">
        <v>274</v>
      </c>
      <c r="M30" s="445"/>
      <c r="N30" s="55">
        <v>5.98</v>
      </c>
      <c r="O30" s="55">
        <v>7.53</v>
      </c>
      <c r="P30" s="55">
        <v>15.72</v>
      </c>
      <c r="Q30" s="55">
        <v>157.15</v>
      </c>
      <c r="R30" s="52" t="s">
        <v>24</v>
      </c>
    </row>
    <row r="31" spans="2:18" ht="14.25" customHeight="1">
      <c r="B31" s="434"/>
      <c r="C31" s="411" t="s">
        <v>275</v>
      </c>
      <c r="D31" s="411"/>
      <c r="E31" s="86">
        <v>5</v>
      </c>
      <c r="F31" s="86">
        <v>6.9</v>
      </c>
      <c r="G31" s="86">
        <v>23.9</v>
      </c>
      <c r="H31" s="86">
        <v>178</v>
      </c>
      <c r="I31" s="87" t="s">
        <v>130</v>
      </c>
      <c r="J31" s="68"/>
      <c r="K31" s="434"/>
      <c r="L31" s="461" t="s">
        <v>275</v>
      </c>
      <c r="M31" s="461"/>
      <c r="N31" s="53">
        <v>5</v>
      </c>
      <c r="O31" s="53">
        <v>6.9</v>
      </c>
      <c r="P31" s="53">
        <v>23.9</v>
      </c>
      <c r="Q31" s="53">
        <v>178</v>
      </c>
      <c r="R31" s="54" t="s">
        <v>130</v>
      </c>
    </row>
    <row r="32" spans="2:18" ht="14.25" customHeight="1">
      <c r="B32" s="434"/>
      <c r="C32" s="410" t="s">
        <v>213</v>
      </c>
      <c r="D32" s="410"/>
      <c r="E32" s="28">
        <v>0.12</v>
      </c>
      <c r="F32" s="28">
        <v>0.02</v>
      </c>
      <c r="G32" s="28">
        <v>13.7</v>
      </c>
      <c r="H32" s="28">
        <v>55.9</v>
      </c>
      <c r="I32" s="89" t="s">
        <v>32</v>
      </c>
      <c r="J32" s="68"/>
      <c r="K32" s="434"/>
      <c r="L32" s="445" t="s">
        <v>213</v>
      </c>
      <c r="M32" s="445"/>
      <c r="N32" s="3">
        <v>0.12</v>
      </c>
      <c r="O32" s="3">
        <v>0.02</v>
      </c>
      <c r="P32" s="3">
        <v>13.7</v>
      </c>
      <c r="Q32" s="3">
        <v>55.9</v>
      </c>
      <c r="R32" s="51" t="s">
        <v>32</v>
      </c>
    </row>
    <row r="33" spans="2:18" ht="14.25" customHeight="1">
      <c r="B33" s="434"/>
      <c r="C33" s="410" t="s">
        <v>68</v>
      </c>
      <c r="D33" s="410"/>
      <c r="E33" s="88">
        <v>0.27</v>
      </c>
      <c r="F33" s="88">
        <v>0.27</v>
      </c>
      <c r="G33" s="88">
        <v>6.53</v>
      </c>
      <c r="H33" s="29">
        <v>31.33</v>
      </c>
      <c r="I33" s="89"/>
      <c r="J33" s="68"/>
      <c r="K33" s="434"/>
      <c r="L33" s="445" t="s">
        <v>68</v>
      </c>
      <c r="M33" s="445"/>
      <c r="N33" s="2">
        <v>0.27</v>
      </c>
      <c r="O33" s="2">
        <v>0.27</v>
      </c>
      <c r="P33" s="2">
        <v>6.53</v>
      </c>
      <c r="Q33" s="6">
        <v>31.33</v>
      </c>
      <c r="R33" s="1"/>
    </row>
    <row r="34" spans="2:18" ht="14.25" customHeight="1">
      <c r="B34" s="434"/>
      <c r="C34" s="410" t="s">
        <v>276</v>
      </c>
      <c r="D34" s="410"/>
      <c r="E34" s="88">
        <v>5.8</v>
      </c>
      <c r="F34" s="88">
        <v>6.4</v>
      </c>
      <c r="G34" s="88">
        <v>9.4</v>
      </c>
      <c r="H34" s="29">
        <v>120</v>
      </c>
      <c r="I34" s="89"/>
      <c r="J34" s="68"/>
      <c r="K34" s="434"/>
      <c r="L34" s="445" t="s">
        <v>276</v>
      </c>
      <c r="M34" s="445"/>
      <c r="N34" s="2">
        <v>5.8</v>
      </c>
      <c r="O34" s="2">
        <v>6.4</v>
      </c>
      <c r="P34" s="2">
        <v>9.4</v>
      </c>
      <c r="Q34" s="6">
        <v>120</v>
      </c>
      <c r="R34" s="1"/>
    </row>
    <row r="35" spans="2:18" ht="14.25" customHeight="1">
      <c r="B35" s="441" t="s">
        <v>6</v>
      </c>
      <c r="C35" s="441"/>
      <c r="D35" s="90" t="e">
        <f>D30+D31+D32+D33+#REF!+D34</f>
        <v>#REF!</v>
      </c>
      <c r="E35" s="90" t="e">
        <f>E30+E31+E32+E33+#REF!+E34</f>
        <v>#REF!</v>
      </c>
      <c r="F35" s="90" t="e">
        <f>F30+F31+F32+F33+#REF!+F34</f>
        <v>#REF!</v>
      </c>
      <c r="G35" s="90" t="e">
        <f>G30+G31+G32+G33+#REF!+G34</f>
        <v>#REF!</v>
      </c>
      <c r="H35" s="90" t="e">
        <f>H30+H31+H32+H33+#REF!+H34</f>
        <v>#REF!</v>
      </c>
      <c r="I35" s="91"/>
      <c r="J35" s="68"/>
      <c r="K35" s="441" t="s">
        <v>6</v>
      </c>
      <c r="L35" s="441"/>
      <c r="M35" s="27" t="e">
        <f>M30+M31+M32+M33+#REF!+M34</f>
        <v>#REF!</v>
      </c>
      <c r="N35" s="27" t="e">
        <f>N30+N31+N32+N33+#REF!+N34</f>
        <v>#REF!</v>
      </c>
      <c r="O35" s="27" t="e">
        <f>O30+O31+O32+O33+#REF!+O34</f>
        <v>#REF!</v>
      </c>
      <c r="P35" s="27" t="e">
        <f>P30+P31+P32+P33+#REF!+P34</f>
        <v>#REF!</v>
      </c>
      <c r="Q35" s="27" t="e">
        <f>Q30+Q31+Q32+Q33+#REF!+Q34</f>
        <v>#REF!</v>
      </c>
      <c r="R35" s="1"/>
    </row>
    <row r="36" spans="2:18" ht="30" customHeight="1">
      <c r="B36" s="434" t="s">
        <v>54</v>
      </c>
      <c r="C36" s="445" t="s">
        <v>277</v>
      </c>
      <c r="D36" s="445"/>
      <c r="E36" s="28">
        <v>0.66</v>
      </c>
      <c r="F36" s="28">
        <v>6.06</v>
      </c>
      <c r="G36" s="28">
        <v>5.46</v>
      </c>
      <c r="H36" s="29">
        <v>79.2</v>
      </c>
      <c r="I36" s="89"/>
      <c r="J36" s="68"/>
      <c r="K36" s="434" t="s">
        <v>54</v>
      </c>
      <c r="L36" s="445" t="s">
        <v>277</v>
      </c>
      <c r="M36" s="445"/>
      <c r="N36" s="3">
        <v>1.1000000000000001</v>
      </c>
      <c r="O36" s="3">
        <v>10.1</v>
      </c>
      <c r="P36" s="3">
        <v>9.1</v>
      </c>
      <c r="Q36" s="6">
        <v>132</v>
      </c>
      <c r="R36" s="3"/>
    </row>
    <row r="37" spans="2:18" ht="14.25" customHeight="1">
      <c r="B37" s="434"/>
      <c r="C37" s="445" t="s">
        <v>278</v>
      </c>
      <c r="D37" s="445"/>
      <c r="E37" s="28">
        <v>1.4</v>
      </c>
      <c r="F37" s="28">
        <v>3.98</v>
      </c>
      <c r="G37" s="28">
        <v>6.22</v>
      </c>
      <c r="H37" s="29">
        <v>6.6</v>
      </c>
      <c r="I37" s="89" t="s">
        <v>132</v>
      </c>
      <c r="J37" s="68"/>
      <c r="K37" s="434"/>
      <c r="L37" s="445" t="s">
        <v>278</v>
      </c>
      <c r="M37" s="445"/>
      <c r="N37" s="3">
        <v>1.75</v>
      </c>
      <c r="O37" s="3">
        <v>4.9800000000000004</v>
      </c>
      <c r="P37" s="3">
        <v>7.78</v>
      </c>
      <c r="Q37" s="6">
        <v>8.25</v>
      </c>
      <c r="R37" s="51" t="s">
        <v>132</v>
      </c>
    </row>
    <row r="38" spans="2:18" ht="14.25" customHeight="1">
      <c r="B38" s="434"/>
      <c r="C38" s="445" t="s">
        <v>279</v>
      </c>
      <c r="D38" s="445"/>
      <c r="E38" s="28">
        <v>5.21</v>
      </c>
      <c r="F38" s="28">
        <v>6.9</v>
      </c>
      <c r="G38" s="28">
        <v>35.9</v>
      </c>
      <c r="H38" s="29">
        <v>238.91</v>
      </c>
      <c r="I38" s="89" t="s">
        <v>133</v>
      </c>
      <c r="J38" s="68"/>
      <c r="K38" s="434"/>
      <c r="L38" s="445" t="s">
        <v>279</v>
      </c>
      <c r="M38" s="445"/>
      <c r="N38" s="3">
        <v>9.85</v>
      </c>
      <c r="O38" s="3">
        <v>8.2799999999999994</v>
      </c>
      <c r="P38" s="3">
        <v>43.07</v>
      </c>
      <c r="Q38" s="6">
        <v>286.69</v>
      </c>
      <c r="R38" s="51" t="s">
        <v>133</v>
      </c>
    </row>
    <row r="39" spans="2:18" ht="14.25" customHeight="1">
      <c r="B39" s="434"/>
      <c r="C39" s="445" t="s">
        <v>280</v>
      </c>
      <c r="D39" s="445"/>
      <c r="E39" s="28">
        <v>17.28</v>
      </c>
      <c r="F39" s="28">
        <v>3.96</v>
      </c>
      <c r="G39" s="28">
        <v>12.12</v>
      </c>
      <c r="H39" s="29">
        <v>152.52000000000001</v>
      </c>
      <c r="I39" s="89" t="s">
        <v>134</v>
      </c>
      <c r="J39" s="68"/>
      <c r="K39" s="434"/>
      <c r="L39" s="445" t="s">
        <v>280</v>
      </c>
      <c r="M39" s="445"/>
      <c r="N39" s="3">
        <v>19.2</v>
      </c>
      <c r="O39" s="3">
        <v>4.4000000000000004</v>
      </c>
      <c r="P39" s="3">
        <v>13.47</v>
      </c>
      <c r="Q39" s="6">
        <v>169.47</v>
      </c>
      <c r="R39" s="51" t="s">
        <v>134</v>
      </c>
    </row>
    <row r="40" spans="2:18" ht="14.25" customHeight="1">
      <c r="B40" s="434"/>
      <c r="C40" s="445" t="s">
        <v>281</v>
      </c>
      <c r="D40" s="445"/>
      <c r="E40" s="28">
        <v>1</v>
      </c>
      <c r="F40" s="28">
        <v>0.2</v>
      </c>
      <c r="G40" s="28">
        <v>20.2</v>
      </c>
      <c r="H40" s="29">
        <v>92</v>
      </c>
      <c r="I40" s="89"/>
      <c r="J40" s="68"/>
      <c r="K40" s="434"/>
      <c r="L40" s="445" t="s">
        <v>281</v>
      </c>
      <c r="M40" s="445"/>
      <c r="N40" s="3">
        <v>1</v>
      </c>
      <c r="O40" s="3">
        <v>0.2</v>
      </c>
      <c r="P40" s="3">
        <v>20.2</v>
      </c>
      <c r="Q40" s="6">
        <v>92</v>
      </c>
      <c r="R40" s="3"/>
    </row>
    <row r="41" spans="2:18" ht="14.25" customHeight="1">
      <c r="B41" s="434"/>
      <c r="C41" s="445" t="s">
        <v>263</v>
      </c>
      <c r="D41" s="445"/>
      <c r="E41" s="28"/>
      <c r="F41" s="28"/>
      <c r="G41" s="28"/>
      <c r="H41" s="29"/>
      <c r="I41" s="89"/>
      <c r="J41" s="68"/>
      <c r="K41" s="434"/>
      <c r="L41" s="445" t="s">
        <v>263</v>
      </c>
      <c r="M41" s="445"/>
      <c r="N41" s="3"/>
      <c r="O41" s="3"/>
      <c r="P41" s="3"/>
      <c r="Q41" s="6"/>
      <c r="R41" s="1"/>
    </row>
    <row r="42" spans="2:18" ht="14.25" customHeight="1">
      <c r="B42" s="434"/>
      <c r="C42" s="445" t="s">
        <v>4</v>
      </c>
      <c r="D42" s="445"/>
      <c r="E42" s="29"/>
      <c r="F42" s="29"/>
      <c r="G42" s="29"/>
      <c r="H42" s="29"/>
      <c r="I42" s="89"/>
      <c r="J42" s="68"/>
      <c r="K42" s="434"/>
      <c r="L42" s="445" t="s">
        <v>4</v>
      </c>
      <c r="M42" s="445"/>
      <c r="N42" s="6"/>
      <c r="O42" s="6"/>
      <c r="P42" s="6"/>
      <c r="Q42" s="6"/>
      <c r="R42" s="1"/>
    </row>
    <row r="43" spans="2:18" ht="14.25" customHeight="1">
      <c r="B43" s="441" t="s">
        <v>55</v>
      </c>
      <c r="C43" s="441"/>
      <c r="D43" s="90">
        <f>D36+D37+D38+D39+D40+D41+D42</f>
        <v>0</v>
      </c>
      <c r="E43" s="90">
        <f t="shared" ref="E43:H43" si="0">E36+E37+E38+E39+E40+E41+E42</f>
        <v>25.55</v>
      </c>
      <c r="F43" s="90">
        <f t="shared" si="0"/>
        <v>21.099999999999998</v>
      </c>
      <c r="G43" s="90">
        <f t="shared" si="0"/>
        <v>79.899999999999991</v>
      </c>
      <c r="H43" s="90">
        <f t="shared" si="0"/>
        <v>569.23</v>
      </c>
      <c r="I43" s="30"/>
      <c r="J43" s="68"/>
      <c r="K43" s="441" t="s">
        <v>55</v>
      </c>
      <c r="L43" s="441"/>
      <c r="M43" s="27">
        <f>M36+M37+M38+M39+M40+M41+M42</f>
        <v>0</v>
      </c>
      <c r="N43" s="27">
        <f t="shared" ref="N43:Q43" si="1">N36+N37+N38+N39+N40+N41+N42</f>
        <v>32.9</v>
      </c>
      <c r="O43" s="27">
        <f t="shared" si="1"/>
        <v>27.959999999999997</v>
      </c>
      <c r="P43" s="27">
        <f t="shared" si="1"/>
        <v>93.62</v>
      </c>
      <c r="Q43" s="27">
        <f t="shared" si="1"/>
        <v>688.41</v>
      </c>
      <c r="R43" s="1"/>
    </row>
    <row r="44" spans="2:18" ht="14.25" customHeight="1">
      <c r="B44" s="80" t="s">
        <v>52</v>
      </c>
      <c r="C44" s="81"/>
      <c r="D44" s="81"/>
      <c r="E44" s="81"/>
      <c r="F44" s="81"/>
      <c r="G44" s="81"/>
      <c r="H44" s="81"/>
      <c r="I44" s="82"/>
      <c r="J44" s="68"/>
      <c r="K44" s="426" t="s">
        <v>52</v>
      </c>
      <c r="L44" s="427"/>
      <c r="M44" s="427"/>
      <c r="N44" s="427"/>
      <c r="O44" s="427"/>
      <c r="P44" s="427"/>
      <c r="Q44" s="427"/>
      <c r="R44" s="429"/>
    </row>
    <row r="45" spans="2:18" ht="14.25" customHeight="1">
      <c r="B45" s="80" t="s">
        <v>57</v>
      </c>
      <c r="C45" s="81"/>
      <c r="D45" s="81"/>
      <c r="E45" s="81"/>
      <c r="F45" s="81"/>
      <c r="G45" s="81"/>
      <c r="H45" s="81"/>
      <c r="I45" s="82"/>
      <c r="J45" s="68"/>
      <c r="K45" s="426" t="s">
        <v>57</v>
      </c>
      <c r="L45" s="427"/>
      <c r="M45" s="427"/>
      <c r="N45" s="428"/>
      <c r="O45" s="428"/>
      <c r="P45" s="428"/>
      <c r="Q45" s="428"/>
      <c r="R45" s="429"/>
    </row>
    <row r="46" spans="2:18" ht="14.25" customHeight="1">
      <c r="B46" s="80" t="s">
        <v>189</v>
      </c>
      <c r="C46" s="432" t="s">
        <v>264</v>
      </c>
      <c r="D46" s="433"/>
      <c r="E46" s="81"/>
      <c r="F46" s="81"/>
      <c r="G46" s="81"/>
      <c r="H46" s="81"/>
      <c r="I46" s="82"/>
      <c r="J46" s="68"/>
      <c r="K46" s="80" t="s">
        <v>189</v>
      </c>
      <c r="L46" s="432" t="s">
        <v>264</v>
      </c>
      <c r="M46" s="433"/>
      <c r="N46" s="62"/>
      <c r="O46" s="62"/>
      <c r="P46" s="62"/>
      <c r="Q46" s="62"/>
      <c r="R46" s="63"/>
    </row>
    <row r="47" spans="2:18" ht="14.25" customHeight="1">
      <c r="B47" s="80"/>
      <c r="C47" s="430" t="s">
        <v>265</v>
      </c>
      <c r="D47" s="431"/>
      <c r="E47" s="81"/>
      <c r="F47" s="81"/>
      <c r="G47" s="81"/>
      <c r="H47" s="81"/>
      <c r="I47" s="82"/>
      <c r="J47" s="68"/>
      <c r="K47" s="80"/>
      <c r="L47" s="430" t="s">
        <v>265</v>
      </c>
      <c r="M47" s="431"/>
      <c r="N47" s="62"/>
      <c r="O47" s="62"/>
      <c r="P47" s="62"/>
      <c r="Q47" s="62"/>
      <c r="R47" s="63"/>
    </row>
    <row r="48" spans="2:18" ht="14.25" customHeight="1">
      <c r="B48" s="80"/>
      <c r="C48" s="430" t="s">
        <v>198</v>
      </c>
      <c r="D48" s="431"/>
      <c r="E48" s="81"/>
      <c r="F48" s="81"/>
      <c r="G48" s="81"/>
      <c r="H48" s="81"/>
      <c r="I48" s="82"/>
      <c r="J48" s="68"/>
      <c r="K48" s="80"/>
      <c r="L48" s="430" t="s">
        <v>198</v>
      </c>
      <c r="M48" s="431"/>
      <c r="N48" s="62"/>
      <c r="O48" s="62"/>
      <c r="P48" s="62"/>
      <c r="Q48" s="62"/>
      <c r="R48" s="63"/>
    </row>
    <row r="49" spans="2:18" ht="14.25" customHeight="1">
      <c r="B49" s="80"/>
      <c r="C49" s="430" t="s">
        <v>266</v>
      </c>
      <c r="D49" s="431"/>
      <c r="E49" s="81"/>
      <c r="F49" s="81"/>
      <c r="G49" s="81"/>
      <c r="H49" s="81"/>
      <c r="I49" s="82"/>
      <c r="J49" s="68"/>
      <c r="K49" s="80"/>
      <c r="L49" s="430" t="s">
        <v>266</v>
      </c>
      <c r="M49" s="431"/>
      <c r="N49" s="62"/>
      <c r="O49" s="62"/>
      <c r="P49" s="62"/>
      <c r="Q49" s="62"/>
      <c r="R49" s="63"/>
    </row>
    <row r="50" spans="2:18" ht="14.25" customHeight="1">
      <c r="B50" s="80"/>
      <c r="C50" s="430" t="s">
        <v>267</v>
      </c>
      <c r="D50" s="431"/>
      <c r="E50" s="81"/>
      <c r="F50" s="81"/>
      <c r="G50" s="81"/>
      <c r="H50" s="81"/>
      <c r="I50" s="82"/>
      <c r="J50" s="68"/>
      <c r="K50" s="80"/>
      <c r="L50" s="430" t="s">
        <v>267</v>
      </c>
      <c r="M50" s="431"/>
      <c r="N50" s="62"/>
      <c r="O50" s="62"/>
      <c r="P50" s="62"/>
      <c r="Q50" s="62"/>
      <c r="R50" s="63"/>
    </row>
    <row r="51" spans="2:18" ht="14.25" customHeight="1">
      <c r="B51" s="80"/>
      <c r="C51" s="430" t="s">
        <v>258</v>
      </c>
      <c r="D51" s="431"/>
      <c r="E51" s="81"/>
      <c r="F51" s="81"/>
      <c r="G51" s="81"/>
      <c r="H51" s="81"/>
      <c r="I51" s="82"/>
      <c r="J51" s="68"/>
      <c r="K51" s="80"/>
      <c r="L51" s="430" t="s">
        <v>258</v>
      </c>
      <c r="M51" s="431"/>
      <c r="N51" s="62"/>
      <c r="O51" s="62"/>
      <c r="P51" s="62"/>
      <c r="Q51" s="62"/>
      <c r="R51" s="63"/>
    </row>
    <row r="52" spans="2:18" ht="14.25" customHeight="1">
      <c r="B52" s="441" t="s">
        <v>6</v>
      </c>
      <c r="C52" s="441"/>
      <c r="D52" s="90" t="e">
        <f>#REF!+#REF!+#REF!+#REF!+233</f>
        <v>#REF!</v>
      </c>
      <c r="E52" s="90" t="e">
        <f>#REF!+#REF!+#REF!+#REF!+#REF!</f>
        <v>#REF!</v>
      </c>
      <c r="F52" s="90" t="e">
        <f>#REF!+#REF!+#REF!+#REF!+#REF!</f>
        <v>#REF!</v>
      </c>
      <c r="G52" s="90" t="e">
        <f>#REF!+#REF!+#REF!+#REF!+#REF!</f>
        <v>#REF!</v>
      </c>
      <c r="H52" s="90" t="e">
        <f>#REF!+#REF!+#REF!+#REF!+#REF!</f>
        <v>#REF!</v>
      </c>
      <c r="I52" s="30"/>
      <c r="J52" s="68"/>
      <c r="K52" s="441" t="s">
        <v>6</v>
      </c>
      <c r="L52" s="441"/>
      <c r="M52" s="27" t="e">
        <f>#REF!+#REF!+#REF!+#REF!+233</f>
        <v>#REF!</v>
      </c>
      <c r="N52" s="27" t="e">
        <f>#REF!+#REF!+#REF!+#REF!+#REF!</f>
        <v>#REF!</v>
      </c>
      <c r="O52" s="27" t="e">
        <f>#REF!+#REF!+#REF!+#REF!+#REF!</f>
        <v>#REF!</v>
      </c>
      <c r="P52" s="27" t="e">
        <f>#REF!+#REF!+#REF!+#REF!+#REF!</f>
        <v>#REF!</v>
      </c>
      <c r="Q52" s="27" t="e">
        <f>#REF!+#REF!+#REF!+#REF!+#REF!</f>
        <v>#REF!</v>
      </c>
      <c r="R52" s="1"/>
    </row>
    <row r="53" spans="2:18" ht="14.25" customHeight="1">
      <c r="B53" s="434" t="s">
        <v>54</v>
      </c>
      <c r="C53" s="430" t="s">
        <v>268</v>
      </c>
      <c r="D53" s="431"/>
      <c r="E53" s="28"/>
      <c r="F53" s="28"/>
      <c r="G53" s="28"/>
      <c r="H53" s="29"/>
      <c r="I53" s="28"/>
      <c r="J53" s="68"/>
      <c r="K53" s="434" t="s">
        <v>54</v>
      </c>
      <c r="L53" s="430" t="s">
        <v>268</v>
      </c>
      <c r="M53" s="431"/>
      <c r="N53" s="3"/>
      <c r="O53" s="3"/>
      <c r="P53" s="3"/>
      <c r="Q53" s="6"/>
      <c r="R53" s="3"/>
    </row>
    <row r="54" spans="2:18" ht="14.25" customHeight="1">
      <c r="B54" s="434"/>
      <c r="C54" s="430" t="s">
        <v>269</v>
      </c>
      <c r="D54" s="431"/>
      <c r="E54" s="28"/>
      <c r="F54" s="28"/>
      <c r="G54" s="28"/>
      <c r="H54" s="29"/>
      <c r="I54" s="28"/>
      <c r="J54" s="68"/>
      <c r="K54" s="434"/>
      <c r="L54" s="430" t="s">
        <v>269</v>
      </c>
      <c r="M54" s="431"/>
      <c r="N54" s="3"/>
      <c r="O54" s="3"/>
      <c r="P54" s="3"/>
      <c r="Q54" s="6"/>
      <c r="R54" s="3"/>
    </row>
    <row r="55" spans="2:18" ht="14.25" customHeight="1">
      <c r="B55" s="434"/>
      <c r="C55" s="430" t="s">
        <v>129</v>
      </c>
      <c r="D55" s="431"/>
      <c r="E55" s="28"/>
      <c r="F55" s="28"/>
      <c r="G55" s="28"/>
      <c r="H55" s="29"/>
      <c r="I55" s="28"/>
      <c r="J55" s="68"/>
      <c r="K55" s="434"/>
      <c r="L55" s="430" t="s">
        <v>129</v>
      </c>
      <c r="M55" s="431"/>
      <c r="N55" s="28"/>
      <c r="O55" s="28"/>
      <c r="P55" s="28"/>
      <c r="Q55" s="29"/>
      <c r="R55" s="3"/>
    </row>
    <row r="56" spans="2:18" ht="14.25" customHeight="1">
      <c r="B56" s="434"/>
      <c r="C56" s="430" t="s">
        <v>270</v>
      </c>
      <c r="D56" s="431"/>
      <c r="E56" s="30"/>
      <c r="F56" s="30"/>
      <c r="G56" s="30"/>
      <c r="H56" s="31"/>
      <c r="I56" s="28"/>
      <c r="J56" s="68"/>
      <c r="K56" s="434"/>
      <c r="L56" s="430" t="s">
        <v>270</v>
      </c>
      <c r="M56" s="431"/>
      <c r="N56" s="30"/>
      <c r="O56" s="30"/>
      <c r="P56" s="30"/>
      <c r="Q56" s="31"/>
      <c r="R56" s="3"/>
    </row>
    <row r="57" spans="2:18" ht="14.25" customHeight="1">
      <c r="B57" s="434"/>
      <c r="C57" s="430" t="s">
        <v>271</v>
      </c>
      <c r="D57" s="431"/>
      <c r="E57" s="28"/>
      <c r="F57" s="28"/>
      <c r="G57" s="28"/>
      <c r="H57" s="29"/>
      <c r="I57" s="28"/>
      <c r="J57" s="68"/>
      <c r="K57" s="434"/>
      <c r="L57" s="430" t="s">
        <v>271</v>
      </c>
      <c r="M57" s="431"/>
      <c r="N57" s="3"/>
      <c r="O57" s="3"/>
      <c r="P57" s="3"/>
      <c r="Q57" s="6"/>
      <c r="R57" s="3"/>
    </row>
    <row r="58" spans="2:18" ht="14.25" customHeight="1">
      <c r="B58" s="434"/>
      <c r="C58" s="430" t="s">
        <v>263</v>
      </c>
      <c r="D58" s="431"/>
      <c r="E58" s="29"/>
      <c r="F58" s="29"/>
      <c r="G58" s="29"/>
      <c r="H58" s="29"/>
      <c r="I58" s="30"/>
      <c r="J58" s="68"/>
      <c r="K58" s="434"/>
      <c r="L58" s="430" t="s">
        <v>263</v>
      </c>
      <c r="M58" s="431"/>
      <c r="N58" s="6"/>
      <c r="O58" s="6"/>
      <c r="P58" s="6"/>
      <c r="Q58" s="6"/>
      <c r="R58" s="1"/>
    </row>
    <row r="59" spans="2:18" ht="14.25" customHeight="1">
      <c r="B59" s="441" t="s">
        <v>55</v>
      </c>
      <c r="C59" s="441"/>
      <c r="D59" s="90">
        <f>D53+D54+D55+D56+D57+D58</f>
        <v>0</v>
      </c>
      <c r="E59" s="90">
        <f t="shared" ref="E59:H59" si="2">E53+E54+E55+E56+E57+E58</f>
        <v>0</v>
      </c>
      <c r="F59" s="90">
        <f t="shared" si="2"/>
        <v>0</v>
      </c>
      <c r="G59" s="90">
        <f t="shared" si="2"/>
        <v>0</v>
      </c>
      <c r="H59" s="90">
        <f t="shared" si="2"/>
        <v>0</v>
      </c>
      <c r="I59" s="30"/>
      <c r="J59" s="68"/>
      <c r="K59" s="441" t="s">
        <v>55</v>
      </c>
      <c r="L59" s="441"/>
      <c r="M59" s="27">
        <f>M53+M54+M55+M56+M57+M58</f>
        <v>0</v>
      </c>
      <c r="N59" s="27">
        <f t="shared" ref="N59:Q59" si="3">N53+N54+N55+N56+N57+N58</f>
        <v>0</v>
      </c>
      <c r="O59" s="27">
        <f t="shared" si="3"/>
        <v>0</v>
      </c>
      <c r="P59" s="27">
        <f t="shared" si="3"/>
        <v>0</v>
      </c>
      <c r="Q59" s="27">
        <f t="shared" si="3"/>
        <v>0</v>
      </c>
      <c r="R59" s="1"/>
    </row>
    <row r="60" spans="2:18" ht="14.25" customHeight="1">
      <c r="B60" s="441" t="s">
        <v>56</v>
      </c>
      <c r="C60" s="441"/>
      <c r="D60" s="90" t="e">
        <f>D52+D59</f>
        <v>#REF!</v>
      </c>
      <c r="E60" s="90" t="e">
        <f>E52+E59</f>
        <v>#REF!</v>
      </c>
      <c r="F60" s="90" t="e">
        <f>F52+F59</f>
        <v>#REF!</v>
      </c>
      <c r="G60" s="90" t="e">
        <f>G52+G59</f>
        <v>#REF!</v>
      </c>
      <c r="H60" s="90" t="e">
        <f>H52+H59</f>
        <v>#REF!</v>
      </c>
      <c r="I60" s="90"/>
      <c r="J60" s="68"/>
      <c r="K60" s="441" t="s">
        <v>56</v>
      </c>
      <c r="L60" s="441"/>
      <c r="M60" s="27" t="e">
        <f>M52+M59</f>
        <v>#REF!</v>
      </c>
      <c r="N60" s="27" t="e">
        <f>N52+N59</f>
        <v>#REF!</v>
      </c>
      <c r="O60" s="27" t="e">
        <f>O52+O59</f>
        <v>#REF!</v>
      </c>
      <c r="P60" s="27" t="e">
        <f>P52+P59</f>
        <v>#REF!</v>
      </c>
      <c r="Q60" s="27" t="e">
        <f>Q52+Q59</f>
        <v>#REF!</v>
      </c>
      <c r="R60" s="27"/>
    </row>
    <row r="61" spans="2:18" ht="14.25" customHeight="1">
      <c r="B61" s="80" t="s">
        <v>60</v>
      </c>
      <c r="C61" s="445"/>
      <c r="D61" s="445"/>
      <c r="E61" s="81"/>
      <c r="F61" s="81"/>
      <c r="G61" s="81"/>
      <c r="H61" s="81"/>
      <c r="I61" s="82"/>
      <c r="J61" s="68"/>
      <c r="K61" s="80" t="s">
        <v>60</v>
      </c>
      <c r="L61" s="445"/>
      <c r="M61" s="445"/>
      <c r="N61" s="62"/>
      <c r="O61" s="62"/>
      <c r="P61" s="62"/>
      <c r="Q61" s="62"/>
      <c r="R61" s="63"/>
    </row>
    <row r="62" spans="2:18" ht="14.25" customHeight="1">
      <c r="B62" s="200" t="s">
        <v>272</v>
      </c>
      <c r="C62" s="432" t="s">
        <v>254</v>
      </c>
      <c r="D62" s="433"/>
      <c r="E62" s="81"/>
      <c r="F62" s="81"/>
      <c r="G62" s="81"/>
      <c r="H62" s="81"/>
      <c r="I62" s="82"/>
      <c r="J62" s="68"/>
      <c r="K62" s="200" t="s">
        <v>272</v>
      </c>
      <c r="L62" s="432" t="s">
        <v>254</v>
      </c>
      <c r="M62" s="433"/>
      <c r="N62" s="62"/>
      <c r="O62" s="62"/>
      <c r="P62" s="62"/>
      <c r="Q62" s="62"/>
      <c r="R62" s="63"/>
    </row>
    <row r="63" spans="2:18" ht="14.25" customHeight="1">
      <c r="B63" s="200"/>
      <c r="C63" s="430" t="s">
        <v>255</v>
      </c>
      <c r="D63" s="431"/>
      <c r="E63" s="81"/>
      <c r="F63" s="81"/>
      <c r="G63" s="81"/>
      <c r="H63" s="81"/>
      <c r="I63" s="82"/>
      <c r="J63" s="68"/>
      <c r="K63" s="200"/>
      <c r="L63" s="430" t="s">
        <v>255</v>
      </c>
      <c r="M63" s="431"/>
      <c r="N63" s="62"/>
      <c r="O63" s="62"/>
      <c r="P63" s="62"/>
      <c r="Q63" s="62"/>
      <c r="R63" s="63"/>
    </row>
    <row r="64" spans="2:18" ht="14.25" customHeight="1">
      <c r="B64" s="200"/>
      <c r="C64" s="430" t="s">
        <v>256</v>
      </c>
      <c r="D64" s="431"/>
      <c r="E64" s="81"/>
      <c r="F64" s="81"/>
      <c r="G64" s="81"/>
      <c r="H64" s="81"/>
      <c r="I64" s="82"/>
      <c r="J64" s="68"/>
      <c r="K64" s="200"/>
      <c r="L64" s="430" t="s">
        <v>256</v>
      </c>
      <c r="M64" s="431"/>
      <c r="N64" s="62"/>
      <c r="O64" s="62"/>
      <c r="P64" s="62"/>
      <c r="Q64" s="62"/>
      <c r="R64" s="63"/>
    </row>
    <row r="65" spans="2:18" ht="14.25" customHeight="1">
      <c r="B65" s="200"/>
      <c r="C65" s="430" t="s">
        <v>257</v>
      </c>
      <c r="D65" s="431"/>
      <c r="E65" s="81"/>
      <c r="F65" s="81"/>
      <c r="G65" s="81"/>
      <c r="H65" s="81"/>
      <c r="I65" s="82"/>
      <c r="J65" s="68"/>
      <c r="K65" s="200"/>
      <c r="L65" s="430" t="s">
        <v>257</v>
      </c>
      <c r="M65" s="431"/>
      <c r="N65" s="62"/>
      <c r="O65" s="62"/>
      <c r="P65" s="62"/>
      <c r="Q65" s="62"/>
      <c r="R65" s="63"/>
    </row>
    <row r="66" spans="2:18" ht="14.25" customHeight="1">
      <c r="B66" s="196"/>
      <c r="C66" s="430" t="s">
        <v>258</v>
      </c>
      <c r="D66" s="431"/>
      <c r="E66" s="28"/>
      <c r="F66" s="28"/>
      <c r="G66" s="28"/>
      <c r="H66" s="28"/>
      <c r="I66" s="30"/>
      <c r="J66" s="68"/>
      <c r="K66" s="196"/>
      <c r="L66" s="430" t="s">
        <v>258</v>
      </c>
      <c r="M66" s="431"/>
      <c r="N66" s="3"/>
      <c r="O66" s="3"/>
      <c r="P66" s="3"/>
      <c r="Q66" s="3"/>
      <c r="R66" s="1"/>
    </row>
    <row r="67" spans="2:18" ht="14.25" customHeight="1">
      <c r="B67" s="441" t="s">
        <v>6</v>
      </c>
      <c r="C67" s="441"/>
      <c r="D67" s="90">
        <f>SUM(D66:D66)</f>
        <v>0</v>
      </c>
      <c r="E67" s="90">
        <f>SUM(E66:E66)</f>
        <v>0</v>
      </c>
      <c r="F67" s="90">
        <f>SUM(F66:F66)</f>
        <v>0</v>
      </c>
      <c r="G67" s="90">
        <f>SUM(G66:G66)</f>
        <v>0</v>
      </c>
      <c r="H67" s="90">
        <f>SUM(H66:H66)</f>
        <v>0</v>
      </c>
      <c r="I67" s="30"/>
      <c r="J67" s="68"/>
      <c r="K67" s="441" t="s">
        <v>6</v>
      </c>
      <c r="L67" s="441"/>
      <c r="M67" s="27">
        <f>SUM(M66:M66)</f>
        <v>0</v>
      </c>
      <c r="N67" s="27">
        <f>SUM(N66:N66)</f>
        <v>0</v>
      </c>
      <c r="O67" s="27">
        <f>SUM(O66:O66)</f>
        <v>0</v>
      </c>
      <c r="P67" s="27">
        <f>SUM(P66:P66)</f>
        <v>0</v>
      </c>
      <c r="Q67" s="27">
        <f>SUM(Q66:Q66)</f>
        <v>0</v>
      </c>
      <c r="R67" s="1"/>
    </row>
    <row r="68" spans="2:18" ht="14.25" customHeight="1">
      <c r="B68" s="199"/>
      <c r="C68" s="430" t="s">
        <v>259</v>
      </c>
      <c r="D68" s="431"/>
      <c r="E68" s="197"/>
      <c r="F68" s="197"/>
      <c r="G68" s="197"/>
      <c r="H68" s="197"/>
      <c r="I68" s="198"/>
      <c r="J68" s="68"/>
      <c r="K68" s="199"/>
      <c r="L68" s="430" t="s">
        <v>259</v>
      </c>
      <c r="M68" s="431"/>
      <c r="N68" s="27"/>
      <c r="O68" s="27"/>
      <c r="P68" s="27"/>
      <c r="Q68" s="27"/>
      <c r="R68" s="1"/>
    </row>
    <row r="69" spans="2:18" ht="14.25" customHeight="1">
      <c r="B69" s="442" t="s">
        <v>54</v>
      </c>
      <c r="C69" s="430" t="s">
        <v>120</v>
      </c>
      <c r="D69" s="431"/>
      <c r="E69" s="28"/>
      <c r="F69" s="28"/>
      <c r="G69" s="28"/>
      <c r="H69" s="29"/>
      <c r="I69" s="28"/>
      <c r="J69" s="68"/>
      <c r="K69" s="442" t="s">
        <v>54</v>
      </c>
      <c r="L69" s="430" t="s">
        <v>120</v>
      </c>
      <c r="M69" s="431"/>
      <c r="N69" s="3"/>
      <c r="O69" s="3"/>
      <c r="P69" s="3"/>
      <c r="Q69" s="6"/>
      <c r="R69" s="3"/>
    </row>
    <row r="70" spans="2:18" ht="14.25" customHeight="1">
      <c r="B70" s="443"/>
      <c r="C70" s="430" t="s">
        <v>260</v>
      </c>
      <c r="D70" s="431"/>
      <c r="E70" s="28"/>
      <c r="F70" s="28"/>
      <c r="G70" s="28"/>
      <c r="H70" s="29"/>
      <c r="I70" s="28"/>
      <c r="J70" s="68"/>
      <c r="K70" s="443"/>
      <c r="L70" s="430" t="s">
        <v>260</v>
      </c>
      <c r="M70" s="431"/>
      <c r="N70" s="3"/>
      <c r="O70" s="3"/>
      <c r="P70" s="3"/>
      <c r="Q70" s="6"/>
      <c r="R70" s="3"/>
    </row>
    <row r="71" spans="2:18" ht="14.25" customHeight="1">
      <c r="B71" s="443"/>
      <c r="C71" s="430" t="s">
        <v>261</v>
      </c>
      <c r="D71" s="431"/>
      <c r="E71" s="28"/>
      <c r="F71" s="28"/>
      <c r="G71" s="28"/>
      <c r="H71" s="29"/>
      <c r="I71" s="28"/>
      <c r="J71" s="68"/>
      <c r="K71" s="443"/>
      <c r="L71" s="430" t="s">
        <v>261</v>
      </c>
      <c r="M71" s="431"/>
      <c r="N71" s="3"/>
      <c r="O71" s="3"/>
      <c r="P71" s="3"/>
      <c r="Q71" s="6"/>
      <c r="R71" s="3"/>
    </row>
    <row r="72" spans="2:18" ht="14.25" customHeight="1">
      <c r="B72" s="443"/>
      <c r="C72" s="430" t="s">
        <v>262</v>
      </c>
      <c r="D72" s="431"/>
      <c r="E72" s="28"/>
      <c r="F72" s="28"/>
      <c r="G72" s="28"/>
      <c r="H72" s="29"/>
      <c r="I72" s="28"/>
      <c r="J72" s="68"/>
      <c r="K72" s="443"/>
      <c r="L72" s="430" t="s">
        <v>262</v>
      </c>
      <c r="M72" s="431"/>
      <c r="N72" s="3"/>
      <c r="O72" s="3"/>
      <c r="P72" s="3"/>
      <c r="Q72" s="6"/>
      <c r="R72" s="3"/>
    </row>
    <row r="73" spans="2:18" ht="14.25" customHeight="1">
      <c r="B73" s="443"/>
      <c r="C73" s="430" t="s">
        <v>5</v>
      </c>
      <c r="D73" s="431"/>
      <c r="E73" s="28"/>
      <c r="F73" s="28"/>
      <c r="G73" s="28"/>
      <c r="H73" s="29"/>
      <c r="I73" s="30"/>
      <c r="J73" s="68"/>
      <c r="K73" s="443"/>
      <c r="L73" s="430" t="s">
        <v>5</v>
      </c>
      <c r="M73" s="431"/>
      <c r="N73" s="3"/>
      <c r="O73" s="3"/>
      <c r="P73" s="3"/>
      <c r="Q73" s="6"/>
      <c r="R73" s="1"/>
    </row>
    <row r="74" spans="2:18" ht="14.25" customHeight="1">
      <c r="B74" s="444"/>
      <c r="C74" s="430" t="s">
        <v>263</v>
      </c>
      <c r="D74" s="431"/>
      <c r="E74" s="29"/>
      <c r="F74" s="29"/>
      <c r="G74" s="29"/>
      <c r="H74" s="29"/>
      <c r="I74" s="30"/>
      <c r="J74" s="68"/>
      <c r="K74" s="444"/>
      <c r="L74" s="430" t="s">
        <v>263</v>
      </c>
      <c r="M74" s="431"/>
      <c r="N74" s="6"/>
      <c r="O74" s="6"/>
      <c r="P74" s="6"/>
      <c r="Q74" s="6"/>
      <c r="R74" s="1"/>
    </row>
    <row r="75" spans="2:18" ht="14.25" customHeight="1">
      <c r="B75" s="441" t="s">
        <v>55</v>
      </c>
      <c r="C75" s="441"/>
      <c r="D75" s="90">
        <f>D69+D70+D71+D72+D73+D74</f>
        <v>0</v>
      </c>
      <c r="E75" s="90">
        <f t="shared" ref="E75:H75" si="4">E69+E70+E71+E72+E73+E74</f>
        <v>0</v>
      </c>
      <c r="F75" s="90">
        <f t="shared" si="4"/>
        <v>0</v>
      </c>
      <c r="G75" s="90">
        <f t="shared" si="4"/>
        <v>0</v>
      </c>
      <c r="H75" s="90">
        <f t="shared" si="4"/>
        <v>0</v>
      </c>
      <c r="I75" s="30"/>
      <c r="J75" s="68"/>
      <c r="K75" s="441" t="s">
        <v>55</v>
      </c>
      <c r="L75" s="441"/>
      <c r="M75" s="27">
        <f>M69+M70+M71+M72+M73+M74</f>
        <v>0</v>
      </c>
      <c r="N75" s="27">
        <f t="shared" ref="N75:Q75" si="5">N69+N70+N71+N72+N73+N74</f>
        <v>0</v>
      </c>
      <c r="O75" s="27">
        <f t="shared" si="5"/>
        <v>0</v>
      </c>
      <c r="P75" s="27">
        <f t="shared" si="5"/>
        <v>0</v>
      </c>
      <c r="Q75" s="27">
        <f t="shared" si="5"/>
        <v>0</v>
      </c>
      <c r="R75" s="1"/>
    </row>
    <row r="76" spans="2:18" ht="14.25" customHeight="1">
      <c r="B76" s="441" t="s">
        <v>56</v>
      </c>
      <c r="C76" s="441"/>
      <c r="D76" s="90">
        <f>D67+D75</f>
        <v>0</v>
      </c>
      <c r="E76" s="90">
        <f>E67+E75</f>
        <v>0</v>
      </c>
      <c r="F76" s="90">
        <f>F67+F75</f>
        <v>0</v>
      </c>
      <c r="G76" s="90">
        <f>G67+G75</f>
        <v>0</v>
      </c>
      <c r="H76" s="90">
        <f>H67+H75</f>
        <v>0</v>
      </c>
      <c r="I76" s="90"/>
      <c r="J76" s="68"/>
      <c r="K76" s="441" t="s">
        <v>56</v>
      </c>
      <c r="L76" s="441"/>
      <c r="M76" s="27">
        <f>M67+M75</f>
        <v>0</v>
      </c>
      <c r="N76" s="27">
        <f>N67+N75</f>
        <v>0</v>
      </c>
      <c r="O76" s="27">
        <f>O67+O75</f>
        <v>0</v>
      </c>
      <c r="P76" s="27">
        <f>P67+P75</f>
        <v>0</v>
      </c>
      <c r="Q76" s="27">
        <f>Q67+Q75</f>
        <v>0</v>
      </c>
      <c r="R76" s="27"/>
    </row>
    <row r="77" spans="2:18" ht="14.25" customHeight="1">
      <c r="B77" s="80" t="s">
        <v>61</v>
      </c>
      <c r="C77" s="81"/>
      <c r="D77" s="81"/>
      <c r="E77" s="81"/>
      <c r="F77" s="81"/>
      <c r="G77" s="81"/>
      <c r="H77" s="81"/>
      <c r="I77" s="82"/>
      <c r="J77" s="68"/>
      <c r="K77" s="80" t="s">
        <v>61</v>
      </c>
      <c r="L77" s="81"/>
      <c r="M77" s="62"/>
      <c r="N77" s="62"/>
      <c r="O77" s="62"/>
      <c r="P77" s="62"/>
      <c r="Q77" s="62"/>
      <c r="R77" s="63"/>
    </row>
    <row r="78" spans="2:18" ht="14.25" customHeight="1">
      <c r="B78" s="455" t="s">
        <v>3</v>
      </c>
      <c r="C78" s="453" t="s">
        <v>264</v>
      </c>
      <c r="D78" s="454"/>
      <c r="E78" s="31"/>
      <c r="F78" s="31"/>
      <c r="G78" s="31"/>
      <c r="H78" s="31"/>
      <c r="I78" s="30"/>
      <c r="J78" s="68"/>
      <c r="K78" s="455" t="s">
        <v>3</v>
      </c>
      <c r="L78" s="453" t="s">
        <v>264</v>
      </c>
      <c r="M78" s="454"/>
      <c r="N78" s="31"/>
      <c r="O78" s="31"/>
      <c r="P78" s="31"/>
      <c r="Q78" s="31"/>
      <c r="R78" s="1"/>
    </row>
    <row r="79" spans="2:18" ht="14.25" customHeight="1">
      <c r="B79" s="456"/>
      <c r="C79" s="467" t="s">
        <v>265</v>
      </c>
      <c r="D79" s="468"/>
      <c r="E79" s="29"/>
      <c r="F79" s="29"/>
      <c r="G79" s="29"/>
      <c r="H79" s="29"/>
      <c r="I79" s="30"/>
      <c r="J79" s="68"/>
      <c r="K79" s="456"/>
      <c r="L79" s="467" t="s">
        <v>265</v>
      </c>
      <c r="M79" s="468"/>
      <c r="N79" s="6"/>
      <c r="O79" s="6"/>
      <c r="P79" s="6"/>
      <c r="Q79" s="6"/>
      <c r="R79" s="1"/>
    </row>
    <row r="80" spans="2:18" ht="14.25" customHeight="1">
      <c r="B80" s="456"/>
      <c r="C80" s="453" t="s">
        <v>282</v>
      </c>
      <c r="D80" s="454"/>
      <c r="E80" s="28"/>
      <c r="F80" s="28"/>
      <c r="G80" s="28"/>
      <c r="H80" s="29"/>
      <c r="I80" s="30"/>
      <c r="J80" s="68"/>
      <c r="K80" s="456"/>
      <c r="L80" s="453" t="s">
        <v>282</v>
      </c>
      <c r="M80" s="454"/>
      <c r="N80" s="3"/>
      <c r="O80" s="3"/>
      <c r="P80" s="3"/>
      <c r="Q80" s="6"/>
      <c r="R80" s="1"/>
    </row>
    <row r="81" spans="2:18" ht="14.25" customHeight="1">
      <c r="B81" s="456"/>
      <c r="C81" s="453" t="s">
        <v>254</v>
      </c>
      <c r="D81" s="454"/>
      <c r="E81" s="88">
        <v>0.27</v>
      </c>
      <c r="F81" s="88">
        <v>0.27</v>
      </c>
      <c r="G81" s="88">
        <v>6.53</v>
      </c>
      <c r="H81" s="29">
        <v>31.33</v>
      </c>
      <c r="I81" s="30"/>
      <c r="J81" s="68"/>
      <c r="K81" s="456"/>
      <c r="L81" s="453" t="s">
        <v>254</v>
      </c>
      <c r="M81" s="454"/>
      <c r="N81" s="2">
        <v>0.27</v>
      </c>
      <c r="O81" s="2">
        <v>0.27</v>
      </c>
      <c r="P81" s="2">
        <v>6.53</v>
      </c>
      <c r="Q81" s="6">
        <v>31.33</v>
      </c>
      <c r="R81" s="1"/>
    </row>
    <row r="82" spans="2:18" ht="14.25" customHeight="1">
      <c r="B82" s="457"/>
      <c r="C82" s="453" t="s">
        <v>68</v>
      </c>
      <c r="D82" s="454"/>
      <c r="E82" s="88">
        <v>5.8</v>
      </c>
      <c r="F82" s="88">
        <v>6.4</v>
      </c>
      <c r="G82" s="88">
        <v>9.4</v>
      </c>
      <c r="H82" s="29">
        <v>120</v>
      </c>
      <c r="I82" s="30"/>
      <c r="J82" s="68"/>
      <c r="K82" s="457"/>
      <c r="L82" s="453" t="s">
        <v>68</v>
      </c>
      <c r="M82" s="454"/>
      <c r="N82" s="2">
        <v>5.8</v>
      </c>
      <c r="O82" s="2">
        <v>6.4</v>
      </c>
      <c r="P82" s="2">
        <v>9.4</v>
      </c>
      <c r="Q82" s="6">
        <v>120</v>
      </c>
      <c r="R82" s="1"/>
    </row>
    <row r="83" spans="2:18" ht="14.25" customHeight="1">
      <c r="B83" s="441" t="s">
        <v>6</v>
      </c>
      <c r="C83" s="441"/>
      <c r="D83" s="90" t="e">
        <f>D79+D80+D81+#REF!+D82+230</f>
        <v>#REF!</v>
      </c>
      <c r="E83" s="90" t="e">
        <f>E78+E79+E80+E81+#REF!+E82</f>
        <v>#REF!</v>
      </c>
      <c r="F83" s="90" t="e">
        <f>F78+F79+F80+F81+#REF!+F82</f>
        <v>#REF!</v>
      </c>
      <c r="G83" s="90" t="e">
        <f>G78+G79+G80+G81+#REF!+G82</f>
        <v>#REF!</v>
      </c>
      <c r="H83" s="90" t="e">
        <f>H78+H79+H80+H81+#REF!+H82</f>
        <v>#REF!</v>
      </c>
      <c r="I83" s="30"/>
      <c r="J83" s="68"/>
      <c r="K83" s="441" t="s">
        <v>6</v>
      </c>
      <c r="L83" s="441"/>
      <c r="M83" s="27" t="e">
        <f>M79+M80+M81+#REF!+M82+230</f>
        <v>#REF!</v>
      </c>
      <c r="N83" s="27" t="e">
        <f>N78+N79+N80+N81+#REF!+N82</f>
        <v>#REF!</v>
      </c>
      <c r="O83" s="27" t="e">
        <f>O78+O79+O80+O81+#REF!+O82</f>
        <v>#REF!</v>
      </c>
      <c r="P83" s="27" t="e">
        <f>P78+P79+P80+P81+#REF!+P82</f>
        <v>#REF!</v>
      </c>
      <c r="Q83" s="27" t="e">
        <f>Q78+Q79+Q80+Q81+#REF!+Q82</f>
        <v>#REF!</v>
      </c>
      <c r="R83" s="1"/>
    </row>
    <row r="84" spans="2:18" ht="14.25" customHeight="1">
      <c r="B84" s="441" t="s">
        <v>54</v>
      </c>
      <c r="C84" s="447" t="s">
        <v>268</v>
      </c>
      <c r="D84" s="447"/>
      <c r="E84" s="28"/>
      <c r="F84" s="28"/>
      <c r="G84" s="28"/>
      <c r="H84" s="29"/>
      <c r="I84" s="28"/>
      <c r="J84" s="68"/>
      <c r="K84" s="441" t="s">
        <v>54</v>
      </c>
      <c r="L84" s="447" t="s">
        <v>268</v>
      </c>
      <c r="M84" s="447"/>
      <c r="N84" s="3"/>
      <c r="O84" s="3"/>
      <c r="P84" s="3"/>
      <c r="Q84" s="6"/>
      <c r="R84" s="3"/>
    </row>
    <row r="85" spans="2:18" ht="14.25" customHeight="1">
      <c r="B85" s="441"/>
      <c r="C85" s="445" t="s">
        <v>283</v>
      </c>
      <c r="D85" s="445"/>
      <c r="E85" s="28"/>
      <c r="F85" s="28"/>
      <c r="G85" s="28"/>
      <c r="H85" s="29"/>
      <c r="I85" s="28"/>
      <c r="J85" s="68"/>
      <c r="K85" s="441"/>
      <c r="L85" s="445" t="s">
        <v>283</v>
      </c>
      <c r="M85" s="445"/>
      <c r="N85" s="3"/>
      <c r="O85" s="3"/>
      <c r="P85" s="3"/>
      <c r="Q85" s="6"/>
      <c r="R85" s="3"/>
    </row>
    <row r="86" spans="2:18" ht="14.25" customHeight="1">
      <c r="B86" s="441"/>
      <c r="C86" s="445" t="s">
        <v>71</v>
      </c>
      <c r="D86" s="445"/>
      <c r="E86" s="28"/>
      <c r="F86" s="28"/>
      <c r="G86" s="28"/>
      <c r="H86" s="29"/>
      <c r="I86" s="28"/>
      <c r="J86" s="68"/>
      <c r="K86" s="441"/>
      <c r="L86" s="445" t="s">
        <v>71</v>
      </c>
      <c r="M86" s="445"/>
      <c r="N86" s="3"/>
      <c r="O86" s="3"/>
      <c r="P86" s="3"/>
      <c r="Q86" s="6"/>
      <c r="R86" s="3"/>
    </row>
    <row r="87" spans="2:18" ht="14.25" customHeight="1">
      <c r="B87" s="441"/>
      <c r="C87" s="445" t="s">
        <v>284</v>
      </c>
      <c r="D87" s="445"/>
      <c r="E87" s="28"/>
      <c r="F87" s="28"/>
      <c r="G87" s="28"/>
      <c r="H87" s="29"/>
      <c r="I87" s="92"/>
      <c r="J87" s="68"/>
      <c r="K87" s="441"/>
      <c r="L87" s="445" t="s">
        <v>284</v>
      </c>
      <c r="M87" s="445"/>
      <c r="N87" s="3"/>
      <c r="O87" s="3"/>
      <c r="P87" s="3"/>
      <c r="Q87" s="6"/>
      <c r="R87" s="32"/>
    </row>
    <row r="88" spans="2:18" ht="27.75" customHeight="1">
      <c r="B88" s="441"/>
      <c r="C88" s="447" t="s">
        <v>5</v>
      </c>
      <c r="D88" s="447"/>
      <c r="E88" s="28"/>
      <c r="F88" s="28"/>
      <c r="G88" s="28"/>
      <c r="H88" s="29"/>
      <c r="I88" s="28"/>
      <c r="J88" s="68"/>
      <c r="K88" s="441"/>
      <c r="L88" s="447" t="s">
        <v>5</v>
      </c>
      <c r="M88" s="447"/>
      <c r="N88" s="3"/>
      <c r="O88" s="3"/>
      <c r="P88" s="3"/>
      <c r="Q88" s="6"/>
      <c r="R88" s="3"/>
    </row>
    <row r="89" spans="2:18" ht="14.25" customHeight="1">
      <c r="B89" s="441"/>
      <c r="C89" s="447" t="s">
        <v>263</v>
      </c>
      <c r="D89" s="447"/>
      <c r="E89" s="28"/>
      <c r="F89" s="28"/>
      <c r="G89" s="28"/>
      <c r="H89" s="29"/>
      <c r="I89" s="28"/>
      <c r="J89" s="68"/>
      <c r="K89" s="441"/>
      <c r="L89" s="447" t="s">
        <v>263</v>
      </c>
      <c r="M89" s="447"/>
      <c r="N89" s="3"/>
      <c r="O89" s="3"/>
      <c r="P89" s="3"/>
      <c r="Q89" s="6"/>
      <c r="R89" s="3"/>
    </row>
    <row r="90" spans="2:18" ht="14.25" customHeight="1">
      <c r="B90" s="441"/>
      <c r="C90" s="447" t="s">
        <v>4</v>
      </c>
      <c r="D90" s="447"/>
      <c r="E90" s="29"/>
      <c r="F90" s="29"/>
      <c r="G90" s="29"/>
      <c r="H90" s="29"/>
      <c r="I90" s="93"/>
      <c r="J90" s="68"/>
      <c r="K90" s="441"/>
      <c r="L90" s="447" t="s">
        <v>4</v>
      </c>
      <c r="M90" s="447"/>
      <c r="N90" s="6"/>
      <c r="O90" s="6"/>
      <c r="P90" s="6"/>
      <c r="Q90" s="6"/>
      <c r="R90" s="33"/>
    </row>
    <row r="91" spans="2:18" ht="14.25" customHeight="1">
      <c r="B91" s="441" t="s">
        <v>55</v>
      </c>
      <c r="C91" s="441"/>
      <c r="D91" s="90">
        <f>D84+D85+D86+D87+D88+D89+D90</f>
        <v>0</v>
      </c>
      <c r="E91" s="90">
        <f t="shared" ref="E91:H91" si="6">E84+E85+E86+E87+E88+E89+E90</f>
        <v>0</v>
      </c>
      <c r="F91" s="90">
        <f t="shared" si="6"/>
        <v>0</v>
      </c>
      <c r="G91" s="90">
        <f t="shared" si="6"/>
        <v>0</v>
      </c>
      <c r="H91" s="90">
        <f t="shared" si="6"/>
        <v>0</v>
      </c>
      <c r="I91" s="30"/>
      <c r="J91" s="68"/>
      <c r="K91" s="441" t="s">
        <v>55</v>
      </c>
      <c r="L91" s="441"/>
      <c r="M91" s="27">
        <f>M84+M85+M86+M87+M88+M89+M90</f>
        <v>0</v>
      </c>
      <c r="N91" s="27">
        <f t="shared" ref="N91:Q91" si="7">N84+N85+N86+N87+N88+N89+N90</f>
        <v>0</v>
      </c>
      <c r="O91" s="27">
        <f t="shared" si="7"/>
        <v>0</v>
      </c>
      <c r="P91" s="27">
        <f t="shared" si="7"/>
        <v>0</v>
      </c>
      <c r="Q91" s="27">
        <f t="shared" si="7"/>
        <v>0</v>
      </c>
      <c r="R91" s="1"/>
    </row>
    <row r="92" spans="2:18" ht="14.25" customHeight="1">
      <c r="B92" s="441" t="s">
        <v>56</v>
      </c>
      <c r="C92" s="441"/>
      <c r="D92" s="90" t="e">
        <f>D83+D91</f>
        <v>#REF!</v>
      </c>
      <c r="E92" s="90" t="e">
        <f t="shared" ref="E92:H92" si="8">E83+E91</f>
        <v>#REF!</v>
      </c>
      <c r="F92" s="90" t="e">
        <f t="shared" si="8"/>
        <v>#REF!</v>
      </c>
      <c r="G92" s="90" t="e">
        <f t="shared" si="8"/>
        <v>#REF!</v>
      </c>
      <c r="H92" s="90" t="e">
        <f t="shared" si="8"/>
        <v>#REF!</v>
      </c>
      <c r="I92" s="90"/>
      <c r="J92" s="68"/>
      <c r="K92" s="441" t="s">
        <v>56</v>
      </c>
      <c r="L92" s="441"/>
      <c r="M92" s="27" t="e">
        <f>M83+M91</f>
        <v>#REF!</v>
      </c>
      <c r="N92" s="27" t="e">
        <f t="shared" ref="N92:Q92" si="9">N83+N91</f>
        <v>#REF!</v>
      </c>
      <c r="O92" s="27" t="e">
        <f t="shared" si="9"/>
        <v>#REF!</v>
      </c>
      <c r="P92" s="27" t="e">
        <f t="shared" si="9"/>
        <v>#REF!</v>
      </c>
      <c r="Q92" s="27" t="e">
        <f t="shared" si="9"/>
        <v>#REF!</v>
      </c>
      <c r="R92" s="27"/>
    </row>
    <row r="93" spans="2:18" ht="14.25" customHeight="1">
      <c r="B93" s="80" t="s">
        <v>62</v>
      </c>
      <c r="C93" s="81"/>
      <c r="D93" s="81"/>
      <c r="E93" s="81"/>
      <c r="F93" s="81"/>
      <c r="G93" s="81"/>
      <c r="H93" s="81"/>
      <c r="I93" s="82"/>
      <c r="J93" s="68"/>
      <c r="K93" s="80" t="s">
        <v>62</v>
      </c>
      <c r="L93" s="81"/>
      <c r="M93" s="62"/>
      <c r="N93" s="62"/>
      <c r="O93" s="62"/>
      <c r="P93" s="62"/>
      <c r="Q93" s="62"/>
      <c r="R93" s="63"/>
    </row>
    <row r="94" spans="2:18" ht="14.25" customHeight="1">
      <c r="B94" s="442" t="s">
        <v>3</v>
      </c>
      <c r="C94" s="432" t="s">
        <v>285</v>
      </c>
      <c r="D94" s="433"/>
      <c r="E94" s="31"/>
      <c r="F94" s="31"/>
      <c r="G94" s="34"/>
      <c r="H94" s="31"/>
      <c r="I94" s="30"/>
      <c r="J94" s="68"/>
      <c r="K94" s="442" t="s">
        <v>3</v>
      </c>
      <c r="L94" s="432" t="s">
        <v>285</v>
      </c>
      <c r="M94" s="433"/>
      <c r="N94" s="31"/>
      <c r="O94" s="31"/>
      <c r="P94" s="34"/>
      <c r="Q94" s="31"/>
      <c r="R94" s="1"/>
    </row>
    <row r="95" spans="2:18" ht="14.25" customHeight="1">
      <c r="B95" s="443"/>
      <c r="C95" s="430" t="s">
        <v>261</v>
      </c>
      <c r="D95" s="431"/>
      <c r="E95" s="30"/>
      <c r="F95" s="30"/>
      <c r="G95" s="30"/>
      <c r="H95" s="30"/>
      <c r="I95" s="30"/>
      <c r="J95" s="68"/>
      <c r="K95" s="443"/>
      <c r="L95" s="430" t="s">
        <v>261</v>
      </c>
      <c r="M95" s="431"/>
      <c r="N95" s="1"/>
      <c r="O95" s="1"/>
      <c r="P95" s="1"/>
      <c r="Q95" s="1"/>
      <c r="R95" s="1"/>
    </row>
    <row r="96" spans="2:18" ht="14.25" customHeight="1">
      <c r="B96" s="443"/>
      <c r="C96" s="451" t="s">
        <v>286</v>
      </c>
      <c r="D96" s="452"/>
      <c r="E96" s="28"/>
      <c r="F96" s="28"/>
      <c r="G96" s="28"/>
      <c r="H96" s="28"/>
      <c r="I96" s="28"/>
      <c r="J96" s="68"/>
      <c r="K96" s="443"/>
      <c r="L96" s="451" t="s">
        <v>286</v>
      </c>
      <c r="M96" s="452"/>
      <c r="N96" s="3"/>
      <c r="O96" s="3"/>
      <c r="P96" s="3"/>
      <c r="Q96" s="3"/>
      <c r="R96" s="3"/>
    </row>
    <row r="97" spans="2:18" ht="14.25" customHeight="1">
      <c r="B97" s="443"/>
      <c r="C97" s="453" t="s">
        <v>5</v>
      </c>
      <c r="D97" s="454"/>
      <c r="E97" s="88">
        <v>0.27</v>
      </c>
      <c r="F97" s="88">
        <v>0.27</v>
      </c>
      <c r="G97" s="88">
        <v>6.53</v>
      </c>
      <c r="H97" s="29">
        <v>31.33</v>
      </c>
      <c r="I97" s="30"/>
      <c r="J97" s="68"/>
      <c r="K97" s="443"/>
      <c r="L97" s="453" t="s">
        <v>5</v>
      </c>
      <c r="M97" s="454"/>
      <c r="N97" s="2">
        <v>0.27</v>
      </c>
      <c r="O97" s="2">
        <v>0.27</v>
      </c>
      <c r="P97" s="2">
        <v>6.53</v>
      </c>
      <c r="Q97" s="6">
        <v>31.33</v>
      </c>
      <c r="R97" s="1"/>
    </row>
    <row r="98" spans="2:18" ht="14.25" customHeight="1">
      <c r="B98" s="444"/>
      <c r="C98" s="453" t="s">
        <v>258</v>
      </c>
      <c r="D98" s="454"/>
      <c r="E98" s="88">
        <v>5.8</v>
      </c>
      <c r="F98" s="88">
        <v>6.4</v>
      </c>
      <c r="G98" s="88">
        <v>9.4</v>
      </c>
      <c r="H98" s="29">
        <v>120</v>
      </c>
      <c r="I98" s="30"/>
      <c r="J98" s="68"/>
      <c r="K98" s="444"/>
      <c r="L98" s="453" t="s">
        <v>258</v>
      </c>
      <c r="M98" s="454"/>
      <c r="N98" s="2">
        <v>5.8</v>
      </c>
      <c r="O98" s="2">
        <v>6.4</v>
      </c>
      <c r="P98" s="2">
        <v>9.4</v>
      </c>
      <c r="Q98" s="6">
        <v>120</v>
      </c>
      <c r="R98" s="1"/>
    </row>
    <row r="99" spans="2:18" ht="14.25" customHeight="1">
      <c r="B99" s="441" t="s">
        <v>6</v>
      </c>
      <c r="C99" s="441"/>
      <c r="D99" s="90" t="e">
        <f>D94+D95+D96+D97+#REF!+D98</f>
        <v>#REF!</v>
      </c>
      <c r="E99" s="90" t="e">
        <f>E94+E95+E96+E97+#REF!+E98</f>
        <v>#REF!</v>
      </c>
      <c r="F99" s="90" t="e">
        <f>F94+F95+F96+F97+#REF!+F98</f>
        <v>#REF!</v>
      </c>
      <c r="G99" s="90" t="e">
        <f>G94+G95+G96+G97+#REF!+G98</f>
        <v>#REF!</v>
      </c>
      <c r="H99" s="90" t="e">
        <f>H94+H95+H96+H97+#REF!+H98</f>
        <v>#REF!</v>
      </c>
      <c r="I99" s="30"/>
      <c r="J99" s="68"/>
      <c r="K99" s="441" t="s">
        <v>6</v>
      </c>
      <c r="L99" s="441"/>
      <c r="M99" s="27" t="e">
        <f>M94+M95+M96+M97+#REF!+M98</f>
        <v>#REF!</v>
      </c>
      <c r="N99" s="27" t="e">
        <f>N94+N95+N96+N97+#REF!+N98</f>
        <v>#REF!</v>
      </c>
      <c r="O99" s="27" t="e">
        <f>O94+O95+O96+O97+#REF!+O98</f>
        <v>#REF!</v>
      </c>
      <c r="P99" s="27" t="e">
        <f>P94+P95+P96+P97+#REF!+P98</f>
        <v>#REF!</v>
      </c>
      <c r="Q99" s="27" t="e">
        <f>Q94+Q95+Q96+Q97+#REF!+Q98</f>
        <v>#REF!</v>
      </c>
      <c r="R99" s="1"/>
    </row>
    <row r="100" spans="2:18" ht="14.25" customHeight="1">
      <c r="B100" s="442" t="s">
        <v>54</v>
      </c>
      <c r="C100" s="445" t="s">
        <v>58</v>
      </c>
      <c r="D100" s="445"/>
      <c r="E100" s="28"/>
      <c r="F100" s="28"/>
      <c r="G100" s="28"/>
      <c r="H100" s="29"/>
      <c r="I100" s="28"/>
      <c r="J100" s="68"/>
      <c r="K100" s="442" t="s">
        <v>54</v>
      </c>
      <c r="L100" s="445" t="s">
        <v>58</v>
      </c>
      <c r="M100" s="445"/>
      <c r="N100" s="3"/>
      <c r="O100" s="3"/>
      <c r="P100" s="3"/>
      <c r="Q100" s="6"/>
      <c r="R100" s="3"/>
    </row>
    <row r="101" spans="2:18" ht="14.25" customHeight="1">
      <c r="B101" s="443"/>
      <c r="C101" s="445" t="s">
        <v>287</v>
      </c>
      <c r="D101" s="445"/>
      <c r="E101" s="28"/>
      <c r="F101" s="28"/>
      <c r="G101" s="28"/>
      <c r="H101" s="29"/>
      <c r="I101" s="28"/>
      <c r="J101" s="68"/>
      <c r="K101" s="443"/>
      <c r="L101" s="445" t="s">
        <v>287</v>
      </c>
      <c r="M101" s="445"/>
      <c r="N101" s="3"/>
      <c r="O101" s="3"/>
      <c r="P101" s="3"/>
      <c r="Q101" s="6"/>
      <c r="R101" s="3"/>
    </row>
    <row r="102" spans="2:18" ht="14.25" customHeight="1">
      <c r="B102" s="443"/>
      <c r="C102" s="445" t="s">
        <v>288</v>
      </c>
      <c r="D102" s="445"/>
      <c r="E102" s="28"/>
      <c r="F102" s="28"/>
      <c r="G102" s="28"/>
      <c r="H102" s="29"/>
      <c r="I102" s="28"/>
      <c r="J102" s="68"/>
      <c r="K102" s="443"/>
      <c r="L102" s="445" t="s">
        <v>288</v>
      </c>
      <c r="M102" s="445"/>
      <c r="N102" s="3"/>
      <c r="O102" s="3"/>
      <c r="P102" s="3"/>
      <c r="Q102" s="6"/>
      <c r="R102" s="3"/>
    </row>
    <row r="103" spans="2:18" ht="14.25" customHeight="1">
      <c r="B103" s="443"/>
      <c r="C103" s="445" t="s">
        <v>270</v>
      </c>
      <c r="D103" s="445"/>
      <c r="E103" s="28"/>
      <c r="F103" s="28"/>
      <c r="G103" s="28"/>
      <c r="H103" s="29"/>
      <c r="I103" s="28"/>
      <c r="J103" s="68"/>
      <c r="K103" s="443"/>
      <c r="L103" s="445" t="s">
        <v>270</v>
      </c>
      <c r="M103" s="445"/>
      <c r="N103" s="3"/>
      <c r="O103" s="3"/>
      <c r="P103" s="3"/>
      <c r="Q103" s="6"/>
      <c r="R103" s="3"/>
    </row>
    <row r="104" spans="2:18" ht="14.25" customHeight="1">
      <c r="B104" s="443"/>
      <c r="C104" s="445" t="s">
        <v>271</v>
      </c>
      <c r="D104" s="445"/>
      <c r="E104" s="28"/>
      <c r="F104" s="28"/>
      <c r="G104" s="28"/>
      <c r="H104" s="29"/>
      <c r="I104" s="28"/>
      <c r="J104" s="68"/>
      <c r="K104" s="443"/>
      <c r="L104" s="445" t="s">
        <v>271</v>
      </c>
      <c r="M104" s="445"/>
      <c r="N104" s="3"/>
      <c r="O104" s="3"/>
      <c r="P104" s="3"/>
      <c r="Q104" s="6"/>
      <c r="R104" s="3"/>
    </row>
    <row r="105" spans="2:18" ht="14.25" customHeight="1">
      <c r="B105" s="443"/>
      <c r="C105" s="445" t="s">
        <v>263</v>
      </c>
      <c r="D105" s="445"/>
      <c r="E105" s="28"/>
      <c r="F105" s="28"/>
      <c r="G105" s="28"/>
      <c r="H105" s="29"/>
      <c r="I105" s="28"/>
      <c r="J105" s="68"/>
      <c r="K105" s="443"/>
      <c r="L105" s="445" t="s">
        <v>263</v>
      </c>
      <c r="M105" s="445"/>
      <c r="N105" s="3"/>
      <c r="O105" s="3"/>
      <c r="P105" s="3"/>
      <c r="Q105" s="6"/>
      <c r="R105" s="3"/>
    </row>
    <row r="106" spans="2:18" ht="14.25" customHeight="1">
      <c r="B106" s="444"/>
      <c r="C106" s="445" t="s">
        <v>4</v>
      </c>
      <c r="D106" s="445"/>
      <c r="E106" s="29"/>
      <c r="F106" s="29"/>
      <c r="G106" s="29"/>
      <c r="H106" s="29"/>
      <c r="I106" s="28"/>
      <c r="J106" s="68"/>
      <c r="K106" s="444"/>
      <c r="L106" s="445" t="s">
        <v>4</v>
      </c>
      <c r="M106" s="445"/>
      <c r="N106" s="6"/>
      <c r="O106" s="6"/>
      <c r="P106" s="6"/>
      <c r="Q106" s="6"/>
      <c r="R106" s="3"/>
    </row>
    <row r="107" spans="2:18" ht="14.25" customHeight="1">
      <c r="B107" s="441" t="s">
        <v>55</v>
      </c>
      <c r="C107" s="441"/>
      <c r="D107" s="90">
        <f>D100+D101+D103+D104+D105+D106</f>
        <v>0</v>
      </c>
      <c r="E107" s="90">
        <f t="shared" ref="E107:H107" si="10">E100+E101+E103+E104+E105+E106</f>
        <v>0</v>
      </c>
      <c r="F107" s="90">
        <f t="shared" si="10"/>
        <v>0</v>
      </c>
      <c r="G107" s="90">
        <f t="shared" si="10"/>
        <v>0</v>
      </c>
      <c r="H107" s="90">
        <f t="shared" si="10"/>
        <v>0</v>
      </c>
      <c r="I107" s="30"/>
      <c r="J107" s="68"/>
      <c r="K107" s="441" t="s">
        <v>55</v>
      </c>
      <c r="L107" s="441"/>
      <c r="M107" s="27">
        <f>M100+M101+M103+M104+M105+M106</f>
        <v>0</v>
      </c>
      <c r="N107" s="27">
        <f t="shared" ref="N107:Q107" si="11">N100+N101+N103+N104+N105+N106</f>
        <v>0</v>
      </c>
      <c r="O107" s="27">
        <f t="shared" si="11"/>
        <v>0</v>
      </c>
      <c r="P107" s="27">
        <f t="shared" si="11"/>
        <v>0</v>
      </c>
      <c r="Q107" s="27">
        <f t="shared" si="11"/>
        <v>0</v>
      </c>
      <c r="R107" s="1"/>
    </row>
    <row r="108" spans="2:18" ht="14.25" customHeight="1">
      <c r="B108" s="441" t="s">
        <v>56</v>
      </c>
      <c r="C108" s="441"/>
      <c r="D108" s="90" t="e">
        <f>D99+D107</f>
        <v>#REF!</v>
      </c>
      <c r="E108" s="90" t="e">
        <f t="shared" ref="E108:H108" si="12">E99+E107</f>
        <v>#REF!</v>
      </c>
      <c r="F108" s="90" t="e">
        <f t="shared" si="12"/>
        <v>#REF!</v>
      </c>
      <c r="G108" s="90" t="e">
        <f t="shared" si="12"/>
        <v>#REF!</v>
      </c>
      <c r="H108" s="90" t="e">
        <f t="shared" si="12"/>
        <v>#REF!</v>
      </c>
      <c r="I108" s="90"/>
      <c r="J108" s="68"/>
      <c r="K108" s="441" t="s">
        <v>56</v>
      </c>
      <c r="L108" s="441"/>
      <c r="M108" s="27" t="e">
        <f>M99+M107</f>
        <v>#REF!</v>
      </c>
      <c r="N108" s="27" t="e">
        <f t="shared" ref="N108:Q108" si="13">N99+N107</f>
        <v>#REF!</v>
      </c>
      <c r="O108" s="27" t="e">
        <f t="shared" si="13"/>
        <v>#REF!</v>
      </c>
      <c r="P108" s="27" t="e">
        <f t="shared" si="13"/>
        <v>#REF!</v>
      </c>
      <c r="Q108" s="27" t="e">
        <f t="shared" si="13"/>
        <v>#REF!</v>
      </c>
      <c r="R108" s="27"/>
    </row>
    <row r="109" spans="2:18" ht="14.25" customHeight="1">
      <c r="B109" s="80" t="s">
        <v>64</v>
      </c>
      <c r="C109" s="81"/>
      <c r="D109" s="81"/>
      <c r="E109" s="81"/>
      <c r="F109" s="81"/>
      <c r="G109" s="81"/>
      <c r="H109" s="81"/>
      <c r="I109" s="82"/>
      <c r="J109" s="68"/>
      <c r="K109" s="80" t="s">
        <v>64</v>
      </c>
      <c r="L109" s="81"/>
      <c r="M109" s="62"/>
      <c r="N109" s="62"/>
      <c r="O109" s="62"/>
      <c r="P109" s="62"/>
      <c r="Q109" s="62"/>
      <c r="R109" s="63"/>
    </row>
    <row r="110" spans="2:18" ht="14.25" customHeight="1">
      <c r="B110" s="80" t="s">
        <v>53</v>
      </c>
      <c r="C110" s="81"/>
      <c r="D110" s="81"/>
      <c r="E110" s="81"/>
      <c r="F110" s="81"/>
      <c r="G110" s="81"/>
      <c r="H110" s="81"/>
      <c r="I110" s="82"/>
      <c r="J110" s="68"/>
      <c r="K110" s="80" t="s">
        <v>53</v>
      </c>
      <c r="L110" s="81"/>
      <c r="M110" s="62"/>
      <c r="N110" s="62"/>
      <c r="O110" s="62"/>
      <c r="P110" s="62"/>
      <c r="Q110" s="62"/>
      <c r="R110" s="63"/>
    </row>
    <row r="111" spans="2:18" ht="14.25" customHeight="1">
      <c r="B111" s="442" t="s">
        <v>3</v>
      </c>
      <c r="C111" s="473" t="s">
        <v>289</v>
      </c>
      <c r="D111" s="473"/>
      <c r="E111" s="30"/>
      <c r="F111" s="30"/>
      <c r="G111" s="30"/>
      <c r="H111" s="30"/>
      <c r="I111" s="30"/>
      <c r="J111" s="68"/>
      <c r="K111" s="442" t="s">
        <v>3</v>
      </c>
      <c r="L111" s="473" t="s">
        <v>289</v>
      </c>
      <c r="M111" s="473"/>
      <c r="N111" s="1"/>
      <c r="O111" s="1"/>
      <c r="P111" s="1"/>
      <c r="Q111" s="1"/>
      <c r="R111" s="1"/>
    </row>
    <row r="112" spans="2:18" ht="14.25" customHeight="1">
      <c r="B112" s="443"/>
      <c r="C112" s="447" t="s">
        <v>255</v>
      </c>
      <c r="D112" s="447"/>
      <c r="E112" s="28"/>
      <c r="F112" s="28"/>
      <c r="G112" s="28"/>
      <c r="H112" s="29"/>
      <c r="I112" s="28"/>
      <c r="J112" s="68"/>
      <c r="K112" s="443"/>
      <c r="L112" s="447" t="s">
        <v>255</v>
      </c>
      <c r="M112" s="447"/>
      <c r="N112" s="3"/>
      <c r="O112" s="3"/>
      <c r="P112" s="3"/>
      <c r="Q112" s="6"/>
      <c r="R112" s="3"/>
    </row>
    <row r="113" spans="2:18" ht="14.25" customHeight="1">
      <c r="B113" s="443"/>
      <c r="C113" s="445" t="s">
        <v>290</v>
      </c>
      <c r="D113" s="445"/>
      <c r="E113" s="28"/>
      <c r="F113" s="28"/>
      <c r="G113" s="28"/>
      <c r="H113" s="29"/>
      <c r="I113" s="28"/>
      <c r="J113" s="68"/>
      <c r="K113" s="443"/>
      <c r="L113" s="445" t="s">
        <v>290</v>
      </c>
      <c r="M113" s="445"/>
      <c r="N113" s="3"/>
      <c r="O113" s="3"/>
      <c r="P113" s="3"/>
      <c r="Q113" s="6"/>
      <c r="R113" s="3"/>
    </row>
    <row r="114" spans="2:18" ht="14.25" customHeight="1">
      <c r="B114" s="443"/>
      <c r="C114" s="445" t="s">
        <v>267</v>
      </c>
      <c r="D114" s="445"/>
      <c r="E114" s="88">
        <v>0.27</v>
      </c>
      <c r="F114" s="88">
        <v>0.27</v>
      </c>
      <c r="G114" s="88">
        <v>6.53</v>
      </c>
      <c r="H114" s="29">
        <v>31.33</v>
      </c>
      <c r="I114" s="30"/>
      <c r="J114" s="68"/>
      <c r="K114" s="443"/>
      <c r="L114" s="445" t="s">
        <v>267</v>
      </c>
      <c r="M114" s="445"/>
      <c r="N114" s="2">
        <v>0.27</v>
      </c>
      <c r="O114" s="2">
        <v>0.27</v>
      </c>
      <c r="P114" s="2">
        <v>6.53</v>
      </c>
      <c r="Q114" s="6">
        <v>31.33</v>
      </c>
      <c r="R114" s="1"/>
    </row>
    <row r="115" spans="2:18" ht="14.25" customHeight="1">
      <c r="B115" s="444"/>
      <c r="C115" s="445" t="s">
        <v>291</v>
      </c>
      <c r="D115" s="445"/>
      <c r="E115" s="88">
        <v>5.8</v>
      </c>
      <c r="F115" s="88">
        <v>6.4</v>
      </c>
      <c r="G115" s="88">
        <v>9.4</v>
      </c>
      <c r="H115" s="29">
        <v>120</v>
      </c>
      <c r="I115" s="30"/>
      <c r="J115" s="68"/>
      <c r="K115" s="444"/>
      <c r="L115" s="445" t="s">
        <v>291</v>
      </c>
      <c r="M115" s="445"/>
      <c r="N115" s="2">
        <v>5.8</v>
      </c>
      <c r="O115" s="2">
        <v>6.4</v>
      </c>
      <c r="P115" s="2">
        <v>9.4</v>
      </c>
      <c r="Q115" s="6">
        <v>120</v>
      </c>
      <c r="R115" s="1"/>
    </row>
    <row r="116" spans="2:18" ht="14.25" customHeight="1">
      <c r="B116" s="441" t="s">
        <v>6</v>
      </c>
      <c r="C116" s="441"/>
      <c r="D116" s="90" t="e">
        <f>D112+D114+#REF!+D115+230</f>
        <v>#REF!</v>
      </c>
      <c r="E116" s="90" t="e">
        <f>E111+E112+E114+#REF!+E115</f>
        <v>#REF!</v>
      </c>
      <c r="F116" s="90" t="e">
        <f>F111+F112+F114+#REF!+F115</f>
        <v>#REF!</v>
      </c>
      <c r="G116" s="90" t="e">
        <f>G111+G112+G114+#REF!+G115</f>
        <v>#REF!</v>
      </c>
      <c r="H116" s="90" t="e">
        <f>H111+H112+H114+#REF!+H115</f>
        <v>#REF!</v>
      </c>
      <c r="I116" s="30"/>
      <c r="J116" s="68"/>
      <c r="K116" s="441" t="s">
        <v>6</v>
      </c>
      <c r="L116" s="441"/>
      <c r="M116" s="27" t="e">
        <f>M112+M114+#REF!+M115+230</f>
        <v>#REF!</v>
      </c>
      <c r="N116" s="27" t="e">
        <f>N111+N112+N114+#REF!+N115</f>
        <v>#REF!</v>
      </c>
      <c r="O116" s="27" t="e">
        <f>O111+O112+O114+#REF!+O115</f>
        <v>#REF!</v>
      </c>
      <c r="P116" s="27" t="e">
        <f>P111+P112+P114+#REF!+P115</f>
        <v>#REF!</v>
      </c>
      <c r="Q116" s="27" t="e">
        <f>Q111+Q112+Q114+#REF!+Q115</f>
        <v>#REF!</v>
      </c>
      <c r="R116" s="1"/>
    </row>
    <row r="117" spans="2:18" ht="14.25" customHeight="1">
      <c r="B117" s="199" t="s">
        <v>54</v>
      </c>
      <c r="C117" s="445" t="s">
        <v>277</v>
      </c>
      <c r="D117" s="445"/>
      <c r="E117" s="197"/>
      <c r="F117" s="197"/>
      <c r="G117" s="197"/>
      <c r="H117" s="197"/>
      <c r="I117" s="198"/>
      <c r="J117" s="68"/>
      <c r="K117" s="199" t="s">
        <v>54</v>
      </c>
      <c r="L117" s="445" t="s">
        <v>277</v>
      </c>
      <c r="M117" s="445"/>
      <c r="N117" s="27"/>
      <c r="O117" s="27"/>
      <c r="P117" s="27"/>
      <c r="Q117" s="27"/>
      <c r="R117" s="1"/>
    </row>
    <row r="118" spans="2:18" ht="14.25" customHeight="1">
      <c r="B118" s="199"/>
      <c r="C118" s="445" t="s">
        <v>278</v>
      </c>
      <c r="D118" s="445"/>
      <c r="E118" s="197"/>
      <c r="F118" s="197"/>
      <c r="G118" s="197"/>
      <c r="H118" s="197"/>
      <c r="I118" s="198"/>
      <c r="J118" s="68"/>
      <c r="K118" s="199"/>
      <c r="L118" s="445" t="s">
        <v>278</v>
      </c>
      <c r="M118" s="445"/>
      <c r="N118" s="27"/>
      <c r="O118" s="27"/>
      <c r="P118" s="27"/>
      <c r="Q118" s="27"/>
      <c r="R118" s="1"/>
    </row>
    <row r="119" spans="2:18" ht="14.25" customHeight="1">
      <c r="B119" s="199"/>
      <c r="C119" s="445" t="s">
        <v>292</v>
      </c>
      <c r="D119" s="445"/>
      <c r="E119" s="197"/>
      <c r="F119" s="197"/>
      <c r="G119" s="197"/>
      <c r="H119" s="197"/>
      <c r="I119" s="198"/>
      <c r="J119" s="68"/>
      <c r="K119" s="199"/>
      <c r="L119" s="445" t="s">
        <v>292</v>
      </c>
      <c r="M119" s="445"/>
      <c r="N119" s="27"/>
      <c r="O119" s="27"/>
      <c r="P119" s="27"/>
      <c r="Q119" s="27"/>
      <c r="R119" s="1"/>
    </row>
    <row r="120" spans="2:18" ht="14.25" customHeight="1">
      <c r="B120" s="199"/>
      <c r="C120" s="445" t="s">
        <v>261</v>
      </c>
      <c r="D120" s="445"/>
      <c r="E120" s="197"/>
      <c r="F120" s="197"/>
      <c r="G120" s="197"/>
      <c r="H120" s="197"/>
      <c r="I120" s="198"/>
      <c r="J120" s="68"/>
      <c r="K120" s="199"/>
      <c r="L120" s="445" t="s">
        <v>261</v>
      </c>
      <c r="M120" s="445"/>
      <c r="N120" s="27"/>
      <c r="O120" s="27"/>
      <c r="P120" s="27"/>
      <c r="Q120" s="27"/>
      <c r="R120" s="1"/>
    </row>
    <row r="121" spans="2:18" ht="14.25" customHeight="1">
      <c r="B121" s="199"/>
      <c r="C121" s="445" t="s">
        <v>293</v>
      </c>
      <c r="D121" s="445"/>
      <c r="E121" s="197"/>
      <c r="F121" s="197"/>
      <c r="G121" s="197"/>
      <c r="H121" s="197"/>
      <c r="I121" s="198"/>
      <c r="J121" s="68"/>
      <c r="K121" s="199"/>
      <c r="L121" s="445" t="s">
        <v>293</v>
      </c>
      <c r="M121" s="445"/>
      <c r="N121" s="27"/>
      <c r="O121" s="27"/>
      <c r="P121" s="27"/>
      <c r="Q121" s="27"/>
      <c r="R121" s="1"/>
    </row>
    <row r="122" spans="2:18" ht="14.25" customHeight="1">
      <c r="B122" s="199"/>
      <c r="C122" s="445" t="s">
        <v>294</v>
      </c>
      <c r="D122" s="445"/>
      <c r="E122" s="197"/>
      <c r="F122" s="197"/>
      <c r="G122" s="197"/>
      <c r="H122" s="197"/>
      <c r="I122" s="198"/>
      <c r="J122" s="68"/>
      <c r="K122" s="199"/>
      <c r="L122" s="445" t="s">
        <v>294</v>
      </c>
      <c r="M122" s="445"/>
      <c r="N122" s="27"/>
      <c r="O122" s="27"/>
      <c r="P122" s="27"/>
      <c r="Q122" s="27"/>
      <c r="R122" s="1"/>
    </row>
    <row r="123" spans="2:18" ht="14.25" customHeight="1">
      <c r="B123" s="199"/>
      <c r="C123" s="445" t="s">
        <v>263</v>
      </c>
      <c r="D123" s="445"/>
      <c r="E123" s="197"/>
      <c r="F123" s="197"/>
      <c r="G123" s="197"/>
      <c r="H123" s="197"/>
      <c r="I123" s="198"/>
      <c r="J123" s="68"/>
      <c r="K123" s="199"/>
      <c r="L123" s="445" t="s">
        <v>263</v>
      </c>
      <c r="M123" s="445"/>
      <c r="N123" s="27"/>
      <c r="O123" s="27"/>
      <c r="P123" s="27"/>
      <c r="Q123" s="27"/>
      <c r="R123" s="1"/>
    </row>
    <row r="124" spans="2:18" ht="14.25" customHeight="1">
      <c r="B124" s="199"/>
      <c r="C124" s="445" t="s">
        <v>4</v>
      </c>
      <c r="D124" s="445"/>
      <c r="E124" s="197"/>
      <c r="F124" s="197"/>
      <c r="G124" s="197"/>
      <c r="H124" s="197"/>
      <c r="I124" s="198"/>
      <c r="J124" s="68"/>
      <c r="K124" s="199"/>
      <c r="L124" s="445" t="s">
        <v>4</v>
      </c>
      <c r="M124" s="445"/>
      <c r="N124" s="27"/>
      <c r="O124" s="27"/>
      <c r="P124" s="27"/>
      <c r="Q124" s="27"/>
      <c r="R124" s="1"/>
    </row>
    <row r="125" spans="2:18" ht="14.25" customHeight="1">
      <c r="B125" s="441" t="s">
        <v>55</v>
      </c>
      <c r="C125" s="441"/>
      <c r="D125" s="90" t="e">
        <f>#REF!+#REF!+#REF!+#REF!+#REF!+#REF!+#REF!</f>
        <v>#REF!</v>
      </c>
      <c r="E125" s="90" t="e">
        <f>#REF!+#REF!+#REF!+#REF!+#REF!+#REF!+#REF!</f>
        <v>#REF!</v>
      </c>
      <c r="F125" s="90" t="e">
        <f>#REF!+#REF!+#REF!+#REF!+#REF!+#REF!+#REF!</f>
        <v>#REF!</v>
      </c>
      <c r="G125" s="90" t="e">
        <f>#REF!+#REF!+#REF!+#REF!+#REF!+#REF!+#REF!</f>
        <v>#REF!</v>
      </c>
      <c r="H125" s="90" t="e">
        <f>#REF!+#REF!+#REF!+#REF!+#REF!+#REF!+#REF!</f>
        <v>#REF!</v>
      </c>
      <c r="I125" s="30"/>
      <c r="J125" s="68"/>
      <c r="K125" s="441" t="s">
        <v>55</v>
      </c>
      <c r="L125" s="441"/>
      <c r="M125" s="27" t="e">
        <f>#REF!+#REF!+#REF!+#REF!+#REF!+#REF!+#REF!</f>
        <v>#REF!</v>
      </c>
      <c r="N125" s="27" t="e">
        <f>#REF!+#REF!+#REF!+#REF!+#REF!+#REF!+#REF!</f>
        <v>#REF!</v>
      </c>
      <c r="O125" s="27" t="e">
        <f>#REF!+#REF!+#REF!+#REF!+#REF!+#REF!+#REF!</f>
        <v>#REF!</v>
      </c>
      <c r="P125" s="27" t="e">
        <f>#REF!+#REF!+#REF!+#REF!+#REF!+#REF!+#REF!</f>
        <v>#REF!</v>
      </c>
      <c r="Q125" s="27" t="e">
        <f>#REF!+#REF!+#REF!+#REF!+#REF!+#REF!+#REF!</f>
        <v>#REF!</v>
      </c>
      <c r="R125" s="1"/>
    </row>
    <row r="126" spans="2:18" ht="14.25" customHeight="1">
      <c r="B126" s="441" t="s">
        <v>56</v>
      </c>
      <c r="C126" s="441"/>
      <c r="D126" s="90" t="e">
        <f>D116+D125</f>
        <v>#REF!</v>
      </c>
      <c r="E126" s="90" t="e">
        <f>E116+E125</f>
        <v>#REF!</v>
      </c>
      <c r="F126" s="90" t="e">
        <f>F116+F125</f>
        <v>#REF!</v>
      </c>
      <c r="G126" s="90" t="e">
        <f>G116+G125</f>
        <v>#REF!</v>
      </c>
      <c r="H126" s="90" t="e">
        <f>H116+H125</f>
        <v>#REF!</v>
      </c>
      <c r="I126" s="90"/>
      <c r="J126" s="68"/>
      <c r="K126" s="441" t="s">
        <v>56</v>
      </c>
      <c r="L126" s="441"/>
      <c r="M126" s="27" t="e">
        <f>M116+M125</f>
        <v>#REF!</v>
      </c>
      <c r="N126" s="27" t="e">
        <f>N116+N125</f>
        <v>#REF!</v>
      </c>
      <c r="O126" s="27" t="e">
        <f>O116+O125</f>
        <v>#REF!</v>
      </c>
      <c r="P126" s="27" t="e">
        <f>P116+P125</f>
        <v>#REF!</v>
      </c>
      <c r="Q126" s="27" t="e">
        <f>Q116+Q125</f>
        <v>#REF!</v>
      </c>
      <c r="R126" s="27"/>
    </row>
    <row r="127" spans="2:18" ht="14.25" customHeight="1">
      <c r="B127" s="80" t="s">
        <v>57</v>
      </c>
      <c r="C127" s="81"/>
      <c r="D127" s="81"/>
      <c r="E127" s="81"/>
      <c r="F127" s="81"/>
      <c r="G127" s="81"/>
      <c r="H127" s="81"/>
      <c r="I127" s="82"/>
      <c r="J127" s="68"/>
      <c r="K127" s="80" t="s">
        <v>57</v>
      </c>
      <c r="L127" s="81"/>
      <c r="M127" s="62"/>
      <c r="N127" s="62"/>
      <c r="O127" s="62"/>
      <c r="P127" s="62"/>
      <c r="Q127" s="62"/>
      <c r="R127" s="63"/>
    </row>
    <row r="128" spans="2:18" ht="14.25" customHeight="1">
      <c r="B128" s="200"/>
      <c r="C128" s="446" t="s">
        <v>254</v>
      </c>
      <c r="D128" s="446"/>
      <c r="E128" s="81"/>
      <c r="F128" s="81"/>
      <c r="G128" s="81"/>
      <c r="H128" s="81"/>
      <c r="I128" s="82"/>
      <c r="J128" s="68"/>
      <c r="K128" s="200"/>
      <c r="L128" s="446" t="s">
        <v>254</v>
      </c>
      <c r="M128" s="446"/>
      <c r="N128" s="62"/>
      <c r="O128" s="62"/>
      <c r="P128" s="62"/>
      <c r="Q128" s="62"/>
      <c r="R128" s="63"/>
    </row>
    <row r="129" spans="2:18" ht="14.25" customHeight="1">
      <c r="B129" s="442" t="s">
        <v>3</v>
      </c>
      <c r="C129" s="447" t="s">
        <v>295</v>
      </c>
      <c r="D129" s="447"/>
      <c r="E129" s="28"/>
      <c r="F129" s="28"/>
      <c r="G129" s="28"/>
      <c r="H129" s="28"/>
      <c r="I129" s="30"/>
      <c r="J129" s="68"/>
      <c r="K129" s="442" t="s">
        <v>3</v>
      </c>
      <c r="L129" s="447" t="s">
        <v>295</v>
      </c>
      <c r="M129" s="447"/>
      <c r="N129" s="3"/>
      <c r="O129" s="3"/>
      <c r="P129" s="3"/>
      <c r="Q129" s="3"/>
      <c r="R129" s="1"/>
    </row>
    <row r="130" spans="2:18" ht="14.25" customHeight="1">
      <c r="B130" s="443"/>
      <c r="C130" s="448" t="s">
        <v>238</v>
      </c>
      <c r="D130" s="449"/>
      <c r="E130" s="28"/>
      <c r="F130" s="28"/>
      <c r="G130" s="28"/>
      <c r="H130" s="28"/>
      <c r="I130" s="28"/>
      <c r="J130" s="68"/>
      <c r="K130" s="443"/>
      <c r="L130" s="448" t="s">
        <v>238</v>
      </c>
      <c r="M130" s="449"/>
      <c r="N130" s="3"/>
      <c r="O130" s="3"/>
      <c r="P130" s="3"/>
      <c r="Q130" s="3"/>
      <c r="R130" s="3"/>
    </row>
    <row r="131" spans="2:18" ht="14.25" customHeight="1">
      <c r="B131" s="443"/>
      <c r="C131" s="445" t="s">
        <v>240</v>
      </c>
      <c r="D131" s="445"/>
      <c r="E131" s="30"/>
      <c r="F131" s="30"/>
      <c r="G131" s="30"/>
      <c r="H131" s="30"/>
      <c r="I131" s="30"/>
      <c r="J131" s="68"/>
      <c r="K131" s="443"/>
      <c r="L131" s="445" t="s">
        <v>240</v>
      </c>
      <c r="M131" s="445"/>
      <c r="N131" s="1"/>
      <c r="O131" s="1"/>
      <c r="P131" s="1"/>
      <c r="Q131" s="1"/>
      <c r="R131" s="1"/>
    </row>
    <row r="132" spans="2:18" ht="14.25" customHeight="1">
      <c r="B132" s="443"/>
      <c r="C132" s="447" t="s">
        <v>68</v>
      </c>
      <c r="D132" s="447"/>
      <c r="E132" s="88">
        <v>0.27</v>
      </c>
      <c r="F132" s="88">
        <v>0.27</v>
      </c>
      <c r="G132" s="88">
        <v>6.53</v>
      </c>
      <c r="H132" s="29">
        <v>31.33</v>
      </c>
      <c r="I132" s="30"/>
      <c r="J132" s="68"/>
      <c r="K132" s="443"/>
      <c r="L132" s="447" t="s">
        <v>68</v>
      </c>
      <c r="M132" s="447"/>
      <c r="N132" s="2">
        <v>0.27</v>
      </c>
      <c r="O132" s="2">
        <v>0.27</v>
      </c>
      <c r="P132" s="2">
        <v>6.53</v>
      </c>
      <c r="Q132" s="6">
        <v>31.33</v>
      </c>
      <c r="R132" s="1"/>
    </row>
    <row r="133" spans="2:18" ht="14.25" customHeight="1">
      <c r="B133" s="444"/>
      <c r="C133" s="445" t="s">
        <v>258</v>
      </c>
      <c r="D133" s="445"/>
      <c r="E133" s="88">
        <v>5.8</v>
      </c>
      <c r="F133" s="88">
        <v>6.4</v>
      </c>
      <c r="G133" s="88">
        <v>9.4</v>
      </c>
      <c r="H133" s="29">
        <v>120</v>
      </c>
      <c r="I133" s="30"/>
      <c r="J133" s="68"/>
      <c r="K133" s="444"/>
      <c r="L133" s="445" t="s">
        <v>258</v>
      </c>
      <c r="M133" s="445"/>
      <c r="N133" s="2">
        <v>5.8</v>
      </c>
      <c r="O133" s="2">
        <v>6.4</v>
      </c>
      <c r="P133" s="2">
        <v>9.4</v>
      </c>
      <c r="Q133" s="6">
        <v>120</v>
      </c>
      <c r="R133" s="1"/>
    </row>
    <row r="134" spans="2:18" ht="14.25" customHeight="1">
      <c r="B134" s="441" t="s">
        <v>6</v>
      </c>
      <c r="C134" s="441"/>
      <c r="D134" s="90" t="e">
        <f>D129+D130+D132+#REF!+D133+D131</f>
        <v>#REF!</v>
      </c>
      <c r="E134" s="90" t="e">
        <f>E129+E130+E132+#REF!+E133+E131</f>
        <v>#REF!</v>
      </c>
      <c r="F134" s="90" t="e">
        <f>F129+F130+F132+#REF!+F133+F131</f>
        <v>#REF!</v>
      </c>
      <c r="G134" s="90" t="e">
        <f>G129+G130+G132+#REF!+G133+G131</f>
        <v>#REF!</v>
      </c>
      <c r="H134" s="90" t="e">
        <f>H129+H130+H132+#REF!+H133+H131</f>
        <v>#REF!</v>
      </c>
      <c r="I134" s="30"/>
      <c r="J134" s="68"/>
      <c r="K134" s="441" t="s">
        <v>6</v>
      </c>
      <c r="L134" s="441"/>
      <c r="M134" s="27" t="e">
        <f>M129+M130+M132+#REF!+M133+M131</f>
        <v>#REF!</v>
      </c>
      <c r="N134" s="27" t="e">
        <f>N129+N130+N132+#REF!+N133+N131</f>
        <v>#REF!</v>
      </c>
      <c r="O134" s="27" t="e">
        <f>O129+O130+O132+#REF!+O133+O131</f>
        <v>#REF!</v>
      </c>
      <c r="P134" s="27" t="e">
        <f>P129+P130+P132+#REF!+P133+P131</f>
        <v>#REF!</v>
      </c>
      <c r="Q134" s="27" t="e">
        <f>Q129+Q130+Q132+#REF!+Q133+Q131</f>
        <v>#REF!</v>
      </c>
      <c r="R134" s="1"/>
    </row>
    <row r="135" spans="2:18" ht="14.25" customHeight="1">
      <c r="B135" s="442" t="s">
        <v>54</v>
      </c>
      <c r="C135" s="445" t="s">
        <v>296</v>
      </c>
      <c r="D135" s="445"/>
      <c r="E135" s="28"/>
      <c r="F135" s="28"/>
      <c r="G135" s="28"/>
      <c r="H135" s="29"/>
      <c r="I135" s="28"/>
      <c r="J135" s="68"/>
      <c r="K135" s="442" t="s">
        <v>54</v>
      </c>
      <c r="L135" s="445" t="s">
        <v>296</v>
      </c>
      <c r="M135" s="445"/>
      <c r="N135" s="3"/>
      <c r="O135" s="3"/>
      <c r="P135" s="3"/>
      <c r="Q135" s="6"/>
      <c r="R135" s="3"/>
    </row>
    <row r="136" spans="2:18" ht="14.25" customHeight="1">
      <c r="B136" s="443"/>
      <c r="C136" s="445" t="s">
        <v>297</v>
      </c>
      <c r="D136" s="445"/>
      <c r="E136" s="28"/>
      <c r="F136" s="28"/>
      <c r="G136" s="28"/>
      <c r="H136" s="29"/>
      <c r="I136" s="28"/>
      <c r="J136" s="68"/>
      <c r="K136" s="443"/>
      <c r="L136" s="445" t="s">
        <v>297</v>
      </c>
      <c r="M136" s="445"/>
      <c r="N136" s="3"/>
      <c r="O136" s="3"/>
      <c r="P136" s="3"/>
      <c r="Q136" s="6"/>
      <c r="R136" s="3"/>
    </row>
    <row r="137" spans="2:18" ht="14.25" customHeight="1">
      <c r="B137" s="443"/>
      <c r="C137" s="445" t="s">
        <v>298</v>
      </c>
      <c r="D137" s="445"/>
      <c r="E137" s="28"/>
      <c r="F137" s="28"/>
      <c r="G137" s="28"/>
      <c r="H137" s="29"/>
      <c r="I137" s="28"/>
      <c r="J137" s="68"/>
      <c r="K137" s="443"/>
      <c r="L137" s="445" t="s">
        <v>298</v>
      </c>
      <c r="M137" s="445"/>
      <c r="N137" s="3"/>
      <c r="O137" s="3"/>
      <c r="P137" s="3"/>
      <c r="Q137" s="6"/>
      <c r="R137" s="3"/>
    </row>
    <row r="138" spans="2:18" ht="14.25" customHeight="1">
      <c r="B138" s="443"/>
      <c r="C138" s="445" t="s">
        <v>299</v>
      </c>
      <c r="D138" s="445"/>
      <c r="E138" s="30"/>
      <c r="F138" s="30"/>
      <c r="G138" s="30"/>
      <c r="H138" s="31"/>
      <c r="I138" s="28"/>
      <c r="J138" s="68"/>
      <c r="K138" s="443"/>
      <c r="L138" s="445" t="s">
        <v>299</v>
      </c>
      <c r="M138" s="445"/>
      <c r="N138" s="30"/>
      <c r="O138" s="30"/>
      <c r="P138" s="30"/>
      <c r="Q138" s="31"/>
      <c r="R138" s="3"/>
    </row>
    <row r="139" spans="2:18" ht="14.25" customHeight="1">
      <c r="B139" s="443"/>
      <c r="C139" s="445" t="s">
        <v>300</v>
      </c>
      <c r="D139" s="445"/>
      <c r="E139" s="30"/>
      <c r="F139" s="30"/>
      <c r="G139" s="30"/>
      <c r="H139" s="31"/>
      <c r="I139" s="28"/>
      <c r="J139" s="68"/>
      <c r="K139" s="443"/>
      <c r="L139" s="445" t="s">
        <v>300</v>
      </c>
      <c r="M139" s="445"/>
      <c r="N139" s="30"/>
      <c r="O139" s="30"/>
      <c r="P139" s="30"/>
      <c r="Q139" s="31"/>
      <c r="R139" s="3"/>
    </row>
    <row r="140" spans="2:18" ht="14.25" customHeight="1">
      <c r="B140" s="443"/>
      <c r="C140" s="445" t="s">
        <v>263</v>
      </c>
      <c r="D140" s="445"/>
      <c r="E140" s="28"/>
      <c r="F140" s="28"/>
      <c r="G140" s="28"/>
      <c r="H140" s="29"/>
      <c r="I140" s="28"/>
      <c r="J140" s="68"/>
      <c r="K140" s="443"/>
      <c r="L140" s="445" t="s">
        <v>263</v>
      </c>
      <c r="M140" s="445"/>
      <c r="N140" s="3"/>
      <c r="O140" s="3"/>
      <c r="P140" s="3"/>
      <c r="Q140" s="6"/>
      <c r="R140" s="3"/>
    </row>
    <row r="141" spans="2:18" ht="14.25" customHeight="1">
      <c r="B141" s="444"/>
      <c r="C141" s="445" t="s">
        <v>4</v>
      </c>
      <c r="D141" s="445"/>
      <c r="E141" s="29"/>
      <c r="F141" s="29"/>
      <c r="G141" s="29"/>
      <c r="H141" s="29"/>
      <c r="I141" s="30"/>
      <c r="J141" s="68"/>
      <c r="K141" s="444"/>
      <c r="L141" s="445" t="s">
        <v>4</v>
      </c>
      <c r="M141" s="445"/>
      <c r="N141" s="6"/>
      <c r="O141" s="6"/>
      <c r="P141" s="6"/>
      <c r="Q141" s="6"/>
      <c r="R141" s="1"/>
    </row>
    <row r="142" spans="2:18" ht="14.25" customHeight="1">
      <c r="B142" s="441" t="s">
        <v>55</v>
      </c>
      <c r="C142" s="441"/>
      <c r="D142" s="90">
        <f>D135+D136+D137+D138+D139+D140+D141</f>
        <v>0</v>
      </c>
      <c r="E142" s="90">
        <f t="shared" ref="E142:H142" si="14">E135+E136+E137+E138+E139+E140+E141</f>
        <v>0</v>
      </c>
      <c r="F142" s="90">
        <f t="shared" si="14"/>
        <v>0</v>
      </c>
      <c r="G142" s="90">
        <f t="shared" si="14"/>
        <v>0</v>
      </c>
      <c r="H142" s="90">
        <f t="shared" si="14"/>
        <v>0</v>
      </c>
      <c r="I142" s="30"/>
      <c r="J142" s="68"/>
      <c r="K142" s="441" t="s">
        <v>55</v>
      </c>
      <c r="L142" s="441"/>
      <c r="M142" s="27">
        <f>M135+M136+M137+M138+M139+M140+M141</f>
        <v>0</v>
      </c>
      <c r="N142" s="27">
        <f t="shared" ref="N142:Q142" si="15">N135+N136+N137+N138+N139+N140+N141</f>
        <v>0</v>
      </c>
      <c r="O142" s="27">
        <f t="shared" si="15"/>
        <v>0</v>
      </c>
      <c r="P142" s="27">
        <f t="shared" si="15"/>
        <v>0</v>
      </c>
      <c r="Q142" s="27">
        <f t="shared" si="15"/>
        <v>0</v>
      </c>
      <c r="R142" s="1"/>
    </row>
    <row r="143" spans="2:18" ht="14.25" customHeight="1">
      <c r="B143" s="441" t="s">
        <v>56</v>
      </c>
      <c r="C143" s="441"/>
      <c r="D143" s="90" t="e">
        <f>D134+D142</f>
        <v>#REF!</v>
      </c>
      <c r="E143" s="90" t="e">
        <f t="shared" ref="E143:H143" si="16">E134+E142</f>
        <v>#REF!</v>
      </c>
      <c r="F143" s="90" t="e">
        <f t="shared" si="16"/>
        <v>#REF!</v>
      </c>
      <c r="G143" s="90" t="e">
        <f t="shared" si="16"/>
        <v>#REF!</v>
      </c>
      <c r="H143" s="90" t="e">
        <f t="shared" si="16"/>
        <v>#REF!</v>
      </c>
      <c r="I143" s="90"/>
      <c r="J143" s="68"/>
      <c r="K143" s="441" t="s">
        <v>56</v>
      </c>
      <c r="L143" s="441"/>
      <c r="M143" s="27" t="e">
        <f>M134+M142</f>
        <v>#REF!</v>
      </c>
      <c r="N143" s="27" t="e">
        <f t="shared" ref="N143:Q143" si="17">N134+N142</f>
        <v>#REF!</v>
      </c>
      <c r="O143" s="27" t="e">
        <f t="shared" si="17"/>
        <v>#REF!</v>
      </c>
      <c r="P143" s="27" t="e">
        <f t="shared" si="17"/>
        <v>#REF!</v>
      </c>
      <c r="Q143" s="27" t="e">
        <f t="shared" si="17"/>
        <v>#REF!</v>
      </c>
      <c r="R143" s="27"/>
    </row>
    <row r="144" spans="2:18" ht="14.25" customHeight="1">
      <c r="B144" s="80" t="s">
        <v>60</v>
      </c>
      <c r="C144" s="81"/>
      <c r="D144" s="81"/>
      <c r="E144" s="81"/>
      <c r="F144" s="81"/>
      <c r="G144" s="81"/>
      <c r="H144" s="81"/>
      <c r="I144" s="82"/>
      <c r="J144" s="68"/>
      <c r="K144" s="80" t="s">
        <v>60</v>
      </c>
      <c r="L144" s="81"/>
      <c r="M144" s="62"/>
      <c r="N144" s="62"/>
      <c r="O144" s="62"/>
      <c r="P144" s="62"/>
      <c r="Q144" s="62"/>
      <c r="R144" s="63"/>
    </row>
    <row r="145" spans="2:18" ht="14.25" customHeight="1">
      <c r="B145" s="434" t="s">
        <v>3</v>
      </c>
      <c r="C145" s="461" t="s">
        <v>275</v>
      </c>
      <c r="D145" s="461"/>
      <c r="E145" s="30"/>
      <c r="F145" s="30"/>
      <c r="G145" s="30"/>
      <c r="H145" s="30"/>
      <c r="I145" s="30"/>
      <c r="J145" s="68"/>
      <c r="K145" s="434" t="s">
        <v>3</v>
      </c>
      <c r="L145" s="461" t="s">
        <v>275</v>
      </c>
      <c r="M145" s="461"/>
      <c r="N145" s="1"/>
      <c r="O145" s="1"/>
      <c r="P145" s="1"/>
      <c r="Q145" s="1"/>
      <c r="R145" s="1"/>
    </row>
    <row r="146" spans="2:18" ht="14.25" customHeight="1">
      <c r="B146" s="434"/>
      <c r="C146" s="447" t="s">
        <v>242</v>
      </c>
      <c r="D146" s="447"/>
      <c r="E146" s="29"/>
      <c r="F146" s="29"/>
      <c r="G146" s="29"/>
      <c r="H146" s="29"/>
      <c r="I146" s="30"/>
      <c r="J146" s="68"/>
      <c r="K146" s="434"/>
      <c r="L146" s="447" t="s">
        <v>242</v>
      </c>
      <c r="M146" s="447"/>
      <c r="N146" s="6"/>
      <c r="O146" s="6"/>
      <c r="P146" s="6"/>
      <c r="Q146" s="6"/>
      <c r="R146" s="1"/>
    </row>
    <row r="147" spans="2:18" ht="14.25" customHeight="1">
      <c r="B147" s="434"/>
      <c r="C147" s="445" t="s">
        <v>68</v>
      </c>
      <c r="D147" s="445"/>
      <c r="E147" s="28"/>
      <c r="F147" s="28"/>
      <c r="G147" s="28"/>
      <c r="H147" s="29"/>
      <c r="I147" s="28"/>
      <c r="J147" s="68"/>
      <c r="K147" s="434"/>
      <c r="L147" s="445" t="s">
        <v>68</v>
      </c>
      <c r="M147" s="445"/>
      <c r="N147" s="3"/>
      <c r="O147" s="3"/>
      <c r="P147" s="3"/>
      <c r="Q147" s="6"/>
      <c r="R147" s="3"/>
    </row>
    <row r="148" spans="2:18" ht="14.25" customHeight="1">
      <c r="B148" s="434"/>
      <c r="C148" s="445" t="s">
        <v>291</v>
      </c>
      <c r="D148" s="445"/>
      <c r="E148" s="88">
        <v>0.27</v>
      </c>
      <c r="F148" s="88">
        <v>0.27</v>
      </c>
      <c r="G148" s="88">
        <v>6.53</v>
      </c>
      <c r="H148" s="29">
        <v>31.33</v>
      </c>
      <c r="I148" s="30"/>
      <c r="J148" s="68"/>
      <c r="K148" s="434"/>
      <c r="L148" s="445" t="s">
        <v>291</v>
      </c>
      <c r="M148" s="445"/>
      <c r="N148" s="2">
        <v>0.27</v>
      </c>
      <c r="O148" s="2">
        <v>0.27</v>
      </c>
      <c r="P148" s="2">
        <v>6.53</v>
      </c>
      <c r="Q148" s="6">
        <v>31.33</v>
      </c>
      <c r="R148" s="1"/>
    </row>
    <row r="149" spans="2:18" ht="14.25" customHeight="1">
      <c r="B149" s="434"/>
      <c r="C149" s="88" t="s">
        <v>14</v>
      </c>
      <c r="D149" s="30">
        <v>200</v>
      </c>
      <c r="E149" s="88">
        <v>5.8</v>
      </c>
      <c r="F149" s="88">
        <v>6.4</v>
      </c>
      <c r="G149" s="88">
        <v>9.4</v>
      </c>
      <c r="H149" s="29">
        <v>120</v>
      </c>
      <c r="I149" s="30"/>
      <c r="J149" s="68"/>
      <c r="K149" s="434"/>
      <c r="L149" s="88" t="s">
        <v>14</v>
      </c>
      <c r="M149" s="1">
        <v>200</v>
      </c>
      <c r="N149" s="2">
        <v>5.8</v>
      </c>
      <c r="O149" s="2">
        <v>6.4</v>
      </c>
      <c r="P149" s="2">
        <v>9.4</v>
      </c>
      <c r="Q149" s="6">
        <v>120</v>
      </c>
      <c r="R149" s="1"/>
    </row>
    <row r="150" spans="2:18" ht="14.25" customHeight="1">
      <c r="B150" s="441" t="s">
        <v>6</v>
      </c>
      <c r="C150" s="441"/>
      <c r="D150" s="90" t="e">
        <f>D145+D146+D147+D148+#REF!+D149</f>
        <v>#REF!</v>
      </c>
      <c r="E150" s="90" t="e">
        <f>E145+E146+E147+E148+#REF!+E149</f>
        <v>#REF!</v>
      </c>
      <c r="F150" s="90" t="e">
        <f>F145+F146+F147+F148+#REF!+F149</f>
        <v>#REF!</v>
      </c>
      <c r="G150" s="90" t="e">
        <f>G145+G146+G147+G148+#REF!+G149</f>
        <v>#REF!</v>
      </c>
      <c r="H150" s="90" t="e">
        <f>H145+H146+H147+H148+#REF!+H149</f>
        <v>#REF!</v>
      </c>
      <c r="I150" s="30"/>
      <c r="J150" s="68"/>
      <c r="K150" s="441" t="s">
        <v>6</v>
      </c>
      <c r="L150" s="441"/>
      <c r="M150" s="27" t="e">
        <f>M145+M146+M147+M148+#REF!+M149</f>
        <v>#REF!</v>
      </c>
      <c r="N150" s="27" t="e">
        <f>N145+N146+N147+N148+#REF!+N149</f>
        <v>#REF!</v>
      </c>
      <c r="O150" s="27" t="e">
        <f>O145+O146+O147+O148+#REF!+O149</f>
        <v>#REF!</v>
      </c>
      <c r="P150" s="27" t="e">
        <f>P145+P146+P147+P148+#REF!+P149</f>
        <v>#REF!</v>
      </c>
      <c r="Q150" s="27" t="e">
        <f>Q145+Q146+Q147+Q148+#REF!+Q149</f>
        <v>#REF!</v>
      </c>
      <c r="R150" s="1"/>
    </row>
    <row r="151" spans="2:18" ht="14.25" customHeight="1">
      <c r="B151" s="199" t="s">
        <v>54</v>
      </c>
      <c r="C151" s="445" t="s">
        <v>301</v>
      </c>
      <c r="D151" s="445"/>
      <c r="E151" s="197"/>
      <c r="F151" s="197"/>
      <c r="G151" s="197"/>
      <c r="H151" s="197"/>
      <c r="I151" s="198"/>
      <c r="J151" s="68"/>
      <c r="K151" s="199" t="s">
        <v>54</v>
      </c>
      <c r="L151" s="445" t="s">
        <v>301</v>
      </c>
      <c r="M151" s="445"/>
      <c r="N151" s="27"/>
      <c r="O151" s="27"/>
      <c r="P151" s="27"/>
      <c r="Q151" s="27"/>
      <c r="R151" s="1"/>
    </row>
    <row r="152" spans="2:18" ht="14.25" customHeight="1">
      <c r="B152" s="199"/>
      <c r="C152" s="445" t="s">
        <v>234</v>
      </c>
      <c r="D152" s="445"/>
      <c r="E152" s="197"/>
      <c r="F152" s="197"/>
      <c r="G152" s="197"/>
      <c r="H152" s="197"/>
      <c r="I152" s="198"/>
      <c r="J152" s="68"/>
      <c r="K152" s="199"/>
      <c r="L152" s="445" t="s">
        <v>234</v>
      </c>
      <c r="M152" s="445"/>
      <c r="N152" s="27"/>
      <c r="O152" s="27"/>
      <c r="P152" s="27"/>
      <c r="Q152" s="27"/>
      <c r="R152" s="1"/>
    </row>
    <row r="153" spans="2:18" ht="14.25" customHeight="1">
      <c r="B153" s="199"/>
      <c r="C153" s="445" t="s">
        <v>302</v>
      </c>
      <c r="D153" s="445"/>
      <c r="E153" s="197"/>
      <c r="F153" s="197"/>
      <c r="G153" s="197"/>
      <c r="H153" s="197"/>
      <c r="I153" s="198"/>
      <c r="J153" s="68"/>
      <c r="K153" s="199"/>
      <c r="L153" s="445" t="s">
        <v>302</v>
      </c>
      <c r="M153" s="445"/>
      <c r="N153" s="27"/>
      <c r="O153" s="27"/>
      <c r="P153" s="27"/>
      <c r="Q153" s="27"/>
      <c r="R153" s="1"/>
    </row>
    <row r="154" spans="2:18" ht="14.25" customHeight="1">
      <c r="B154" s="199"/>
      <c r="C154" s="445" t="s">
        <v>303</v>
      </c>
      <c r="D154" s="445"/>
      <c r="E154" s="197"/>
      <c r="F154" s="197"/>
      <c r="G154" s="197"/>
      <c r="H154" s="197"/>
      <c r="I154" s="198"/>
      <c r="J154" s="68"/>
      <c r="K154" s="199"/>
      <c r="L154" s="445" t="s">
        <v>303</v>
      </c>
      <c r="M154" s="445"/>
      <c r="N154" s="27"/>
      <c r="O154" s="27"/>
      <c r="P154" s="27"/>
      <c r="Q154" s="27"/>
      <c r="R154" s="1"/>
    </row>
    <row r="155" spans="2:18" ht="14.25" customHeight="1">
      <c r="B155" s="199"/>
      <c r="C155" s="445" t="s">
        <v>5</v>
      </c>
      <c r="D155" s="445"/>
      <c r="E155" s="197"/>
      <c r="F155" s="197"/>
      <c r="G155" s="197"/>
      <c r="H155" s="197"/>
      <c r="I155" s="198"/>
      <c r="J155" s="68"/>
      <c r="K155" s="199"/>
      <c r="L155" s="445" t="s">
        <v>5</v>
      </c>
      <c r="M155" s="445"/>
      <c r="N155" s="27"/>
      <c r="O155" s="27"/>
      <c r="P155" s="27"/>
      <c r="Q155" s="27"/>
      <c r="R155" s="1"/>
    </row>
    <row r="156" spans="2:18" ht="14.25" customHeight="1">
      <c r="B156" s="199"/>
      <c r="C156" s="445" t="s">
        <v>263</v>
      </c>
      <c r="D156" s="445"/>
      <c r="E156" s="197"/>
      <c r="F156" s="197"/>
      <c r="G156" s="197"/>
      <c r="H156" s="197"/>
      <c r="I156" s="198"/>
      <c r="J156" s="68"/>
      <c r="K156" s="199"/>
      <c r="L156" s="445" t="s">
        <v>263</v>
      </c>
      <c r="M156" s="445"/>
      <c r="N156" s="27"/>
      <c r="O156" s="27"/>
      <c r="P156" s="27"/>
      <c r="Q156" s="27"/>
      <c r="R156" s="1"/>
    </row>
    <row r="157" spans="2:18" ht="14.25" customHeight="1">
      <c r="B157" s="199"/>
      <c r="C157" s="445" t="s">
        <v>4</v>
      </c>
      <c r="D157" s="445"/>
      <c r="E157" s="197"/>
      <c r="F157" s="197"/>
      <c r="G157" s="197"/>
      <c r="H157" s="197"/>
      <c r="I157" s="198"/>
      <c r="J157" s="68"/>
      <c r="K157" s="199"/>
      <c r="L157" s="445" t="s">
        <v>4</v>
      </c>
      <c r="M157" s="445"/>
      <c r="N157" s="27"/>
      <c r="O157" s="27"/>
      <c r="P157" s="27"/>
      <c r="Q157" s="27"/>
      <c r="R157" s="1"/>
    </row>
    <row r="158" spans="2:18" ht="14.25" customHeight="1">
      <c r="B158" s="441" t="s">
        <v>55</v>
      </c>
      <c r="C158" s="441"/>
      <c r="D158" s="90" t="e">
        <f>#REF!+#REF!+#REF!+#REF!+#REF!+#REF!</f>
        <v>#REF!</v>
      </c>
      <c r="E158" s="90" t="e">
        <f>#REF!+#REF!+#REF!+#REF!+#REF!+#REF!</f>
        <v>#REF!</v>
      </c>
      <c r="F158" s="90" t="e">
        <f>#REF!+#REF!+#REF!+#REF!+#REF!+#REF!</f>
        <v>#REF!</v>
      </c>
      <c r="G158" s="90" t="e">
        <f>#REF!+#REF!+#REF!+#REF!+#REF!+#REF!</f>
        <v>#REF!</v>
      </c>
      <c r="H158" s="90" t="e">
        <f>#REF!+#REF!+#REF!+#REF!+#REF!+#REF!</f>
        <v>#REF!</v>
      </c>
      <c r="I158" s="30"/>
      <c r="J158" s="68"/>
      <c r="K158" s="441" t="s">
        <v>55</v>
      </c>
      <c r="L158" s="441"/>
      <c r="M158" s="27" t="e">
        <f>#REF!+#REF!+#REF!+#REF!+#REF!+#REF!</f>
        <v>#REF!</v>
      </c>
      <c r="N158" s="27" t="e">
        <f>#REF!+#REF!+#REF!+#REF!+#REF!+#REF!</f>
        <v>#REF!</v>
      </c>
      <c r="O158" s="27" t="e">
        <f>#REF!+#REF!+#REF!+#REF!+#REF!+#REF!</f>
        <v>#REF!</v>
      </c>
      <c r="P158" s="27" t="e">
        <f>#REF!+#REF!+#REF!+#REF!+#REF!+#REF!</f>
        <v>#REF!</v>
      </c>
      <c r="Q158" s="27" t="e">
        <f>#REF!+#REF!+#REF!+#REF!+#REF!+#REF!</f>
        <v>#REF!</v>
      </c>
      <c r="R158" s="1"/>
    </row>
    <row r="159" spans="2:18" ht="14.25" customHeight="1">
      <c r="B159" s="441" t="s">
        <v>56</v>
      </c>
      <c r="C159" s="441"/>
      <c r="D159" s="90" t="e">
        <f>D150+D158</f>
        <v>#REF!</v>
      </c>
      <c r="E159" s="90" t="e">
        <f>E150+E158</f>
        <v>#REF!</v>
      </c>
      <c r="F159" s="90" t="e">
        <f>F150+F158</f>
        <v>#REF!</v>
      </c>
      <c r="G159" s="90" t="e">
        <f>G150+G158</f>
        <v>#REF!</v>
      </c>
      <c r="H159" s="90" t="e">
        <f>H150+H158</f>
        <v>#REF!</v>
      </c>
      <c r="I159" s="90"/>
      <c r="J159" s="68"/>
      <c r="K159" s="441" t="s">
        <v>56</v>
      </c>
      <c r="L159" s="441"/>
      <c r="M159" s="27" t="e">
        <f>M150+M158</f>
        <v>#REF!</v>
      </c>
      <c r="N159" s="27" t="e">
        <f>N150+N158</f>
        <v>#REF!</v>
      </c>
      <c r="O159" s="27" t="e">
        <f>O150+O158</f>
        <v>#REF!</v>
      </c>
      <c r="P159" s="27" t="e">
        <f>P150+P158</f>
        <v>#REF!</v>
      </c>
      <c r="Q159" s="27" t="e">
        <f>Q150+Q158</f>
        <v>#REF!</v>
      </c>
      <c r="R159" s="27"/>
    </row>
    <row r="160" spans="2:18" ht="14.25" customHeight="1">
      <c r="B160" s="80" t="s">
        <v>61</v>
      </c>
      <c r="C160" s="81"/>
      <c r="D160" s="81"/>
      <c r="E160" s="81"/>
      <c r="F160" s="81"/>
      <c r="G160" s="81"/>
      <c r="H160" s="81"/>
      <c r="I160" s="82"/>
      <c r="J160" s="68"/>
      <c r="K160" s="80" t="s">
        <v>61</v>
      </c>
      <c r="L160" s="81"/>
      <c r="M160" s="62"/>
      <c r="N160" s="62"/>
      <c r="O160" s="62"/>
      <c r="P160" s="62"/>
      <c r="Q160" s="62"/>
      <c r="R160" s="63"/>
    </row>
    <row r="161" spans="2:18" ht="14.25" customHeight="1">
      <c r="B161" s="80"/>
      <c r="C161" s="450" t="s">
        <v>264</v>
      </c>
      <c r="D161" s="450"/>
      <c r="E161" s="81"/>
      <c r="F161" s="81"/>
      <c r="G161" s="81"/>
      <c r="H161" s="81"/>
      <c r="I161" s="82"/>
      <c r="J161" s="68"/>
      <c r="K161" s="80"/>
      <c r="L161" s="450" t="s">
        <v>264</v>
      </c>
      <c r="M161" s="450"/>
      <c r="N161" s="62"/>
      <c r="O161" s="62"/>
      <c r="P161" s="62"/>
      <c r="Q161" s="62"/>
      <c r="R161" s="63"/>
    </row>
    <row r="162" spans="2:18" ht="14.25" customHeight="1">
      <c r="B162" s="80"/>
      <c r="C162" s="447" t="s">
        <v>265</v>
      </c>
      <c r="D162" s="447"/>
      <c r="E162" s="81"/>
      <c r="F162" s="81"/>
      <c r="G162" s="81"/>
      <c r="H162" s="81"/>
      <c r="I162" s="82"/>
      <c r="J162" s="68"/>
      <c r="K162" s="80"/>
      <c r="L162" s="447" t="s">
        <v>265</v>
      </c>
      <c r="M162" s="447"/>
      <c r="N162" s="62"/>
      <c r="O162" s="62"/>
      <c r="P162" s="62"/>
      <c r="Q162" s="62"/>
      <c r="R162" s="63"/>
    </row>
    <row r="163" spans="2:18" ht="14.25" customHeight="1">
      <c r="B163" s="434" t="s">
        <v>3</v>
      </c>
      <c r="C163" s="445" t="s">
        <v>255</v>
      </c>
      <c r="D163" s="445"/>
      <c r="E163" s="30"/>
      <c r="F163" s="30"/>
      <c r="G163" s="30"/>
      <c r="H163" s="30"/>
      <c r="I163" s="30"/>
      <c r="J163" s="68"/>
      <c r="K163" s="434" t="s">
        <v>3</v>
      </c>
      <c r="L163" s="445" t="s">
        <v>255</v>
      </c>
      <c r="M163" s="445"/>
      <c r="N163" s="1"/>
      <c r="O163" s="1"/>
      <c r="P163" s="1"/>
      <c r="Q163" s="1"/>
      <c r="R163" s="1"/>
    </row>
    <row r="164" spans="2:18" ht="14.25" customHeight="1">
      <c r="B164" s="434"/>
      <c r="C164" s="445" t="s">
        <v>282</v>
      </c>
      <c r="D164" s="445"/>
      <c r="E164" s="30"/>
      <c r="F164" s="30"/>
      <c r="G164" s="30"/>
      <c r="H164" s="30"/>
      <c r="I164" s="30"/>
      <c r="J164" s="68"/>
      <c r="K164" s="434"/>
      <c r="L164" s="445" t="s">
        <v>282</v>
      </c>
      <c r="M164" s="445"/>
      <c r="N164" s="1"/>
      <c r="O164" s="1"/>
      <c r="P164" s="1"/>
      <c r="Q164" s="1"/>
      <c r="R164" s="1"/>
    </row>
    <row r="165" spans="2:18" ht="14.25" customHeight="1">
      <c r="B165" s="434"/>
      <c r="C165" s="445" t="s">
        <v>289</v>
      </c>
      <c r="D165" s="445"/>
      <c r="E165" s="28"/>
      <c r="F165" s="28"/>
      <c r="G165" s="28"/>
      <c r="H165" s="28"/>
      <c r="I165" s="28"/>
      <c r="J165" s="68"/>
      <c r="K165" s="434"/>
      <c r="L165" s="445" t="s">
        <v>289</v>
      </c>
      <c r="M165" s="445"/>
      <c r="N165" s="3"/>
      <c r="O165" s="3"/>
      <c r="P165" s="3"/>
      <c r="Q165" s="3"/>
      <c r="R165" s="3"/>
    </row>
    <row r="166" spans="2:18" ht="14.25" customHeight="1">
      <c r="B166" s="434"/>
      <c r="C166" s="445" t="s">
        <v>68</v>
      </c>
      <c r="D166" s="445"/>
      <c r="E166" s="88">
        <v>0.27</v>
      </c>
      <c r="F166" s="88">
        <v>0.27</v>
      </c>
      <c r="G166" s="88">
        <v>6.53</v>
      </c>
      <c r="H166" s="29">
        <v>31.33</v>
      </c>
      <c r="I166" s="30"/>
      <c r="J166" s="68"/>
      <c r="K166" s="434"/>
      <c r="L166" s="445" t="s">
        <v>68</v>
      </c>
      <c r="M166" s="445"/>
      <c r="N166" s="2">
        <v>0.27</v>
      </c>
      <c r="O166" s="2">
        <v>0.27</v>
      </c>
      <c r="P166" s="2">
        <v>6.53</v>
      </c>
      <c r="Q166" s="6">
        <v>31.33</v>
      </c>
      <c r="R166" s="1"/>
    </row>
    <row r="167" spans="2:18" ht="14.25" customHeight="1">
      <c r="B167" s="434"/>
      <c r="C167" s="445" t="s">
        <v>291</v>
      </c>
      <c r="D167" s="445"/>
      <c r="E167" s="88">
        <v>5.8</v>
      </c>
      <c r="F167" s="88">
        <v>6.4</v>
      </c>
      <c r="G167" s="88">
        <v>9.4</v>
      </c>
      <c r="H167" s="29">
        <v>120</v>
      </c>
      <c r="I167" s="30"/>
      <c r="J167" s="68"/>
      <c r="K167" s="434"/>
      <c r="L167" s="445" t="s">
        <v>291</v>
      </c>
      <c r="M167" s="445"/>
      <c r="N167" s="2">
        <v>5.8</v>
      </c>
      <c r="O167" s="2">
        <v>6.4</v>
      </c>
      <c r="P167" s="2">
        <v>9.4</v>
      </c>
      <c r="Q167" s="6">
        <v>120</v>
      </c>
      <c r="R167" s="1"/>
    </row>
    <row r="168" spans="2:18" ht="14.25" customHeight="1">
      <c r="B168" s="441" t="s">
        <v>6</v>
      </c>
      <c r="C168" s="441"/>
      <c r="D168" s="90" t="e">
        <f>D165+D166+#REF!+D167+233</f>
        <v>#REF!</v>
      </c>
      <c r="E168" s="90" t="e">
        <f>E163+E165+E166+#REF!+E167</f>
        <v>#REF!</v>
      </c>
      <c r="F168" s="90" t="e">
        <f>F163+F165+F166+#REF!+F167</f>
        <v>#REF!</v>
      </c>
      <c r="G168" s="90" t="e">
        <f>G163+G165+G166+#REF!+G167</f>
        <v>#REF!</v>
      </c>
      <c r="H168" s="90" t="e">
        <f>H163+H165+H166+#REF!+H167</f>
        <v>#REF!</v>
      </c>
      <c r="I168" s="30"/>
      <c r="J168" s="68"/>
      <c r="K168" s="441" t="s">
        <v>6</v>
      </c>
      <c r="L168" s="441"/>
      <c r="M168" s="27" t="e">
        <f>M165+M166+#REF!+M167+233</f>
        <v>#REF!</v>
      </c>
      <c r="N168" s="27" t="e">
        <f>N163+N165+N166+#REF!+N167</f>
        <v>#REF!</v>
      </c>
      <c r="O168" s="27" t="e">
        <f>O163+O165+O166+#REF!+O167</f>
        <v>#REF!</v>
      </c>
      <c r="P168" s="27" t="e">
        <f>P163+P165+P166+#REF!+P167</f>
        <v>#REF!</v>
      </c>
      <c r="Q168" s="27" t="e">
        <f>Q163+Q165+Q166+#REF!+Q167</f>
        <v>#REF!</v>
      </c>
      <c r="R168" s="1"/>
    </row>
    <row r="169" spans="2:18" ht="15.75" customHeight="1">
      <c r="B169" s="442" t="s">
        <v>54</v>
      </c>
      <c r="C169" s="445" t="s">
        <v>58</v>
      </c>
      <c r="D169" s="445"/>
      <c r="E169" s="28"/>
      <c r="F169" s="28"/>
      <c r="G169" s="28"/>
      <c r="H169" s="29"/>
      <c r="I169" s="28"/>
      <c r="J169" s="68"/>
      <c r="K169" s="442" t="s">
        <v>54</v>
      </c>
      <c r="L169" s="445" t="s">
        <v>58</v>
      </c>
      <c r="M169" s="445"/>
      <c r="N169" s="3"/>
      <c r="O169" s="3"/>
      <c r="P169" s="3"/>
      <c r="Q169" s="6"/>
      <c r="R169" s="3"/>
    </row>
    <row r="170" spans="2:18" ht="14.25" customHeight="1">
      <c r="B170" s="443"/>
      <c r="C170" s="445" t="s">
        <v>304</v>
      </c>
      <c r="D170" s="445"/>
      <c r="E170" s="30"/>
      <c r="F170" s="30"/>
      <c r="G170" s="30"/>
      <c r="H170" s="31"/>
      <c r="I170" s="28"/>
      <c r="J170" s="68"/>
      <c r="K170" s="443"/>
      <c r="L170" s="445" t="s">
        <v>304</v>
      </c>
      <c r="M170" s="445"/>
      <c r="N170" s="30"/>
      <c r="O170" s="30"/>
      <c r="P170" s="30"/>
      <c r="Q170" s="31"/>
      <c r="R170" s="3"/>
    </row>
    <row r="171" spans="2:18" ht="14.25" customHeight="1">
      <c r="B171" s="443"/>
      <c r="C171" s="445" t="s">
        <v>71</v>
      </c>
      <c r="D171" s="445"/>
      <c r="E171" s="28"/>
      <c r="F171" s="28"/>
      <c r="G171" s="28"/>
      <c r="H171" s="29"/>
      <c r="I171" s="28"/>
      <c r="J171" s="68"/>
      <c r="K171" s="443"/>
      <c r="L171" s="445" t="s">
        <v>71</v>
      </c>
      <c r="M171" s="445"/>
      <c r="N171" s="3"/>
      <c r="O171" s="3"/>
      <c r="P171" s="3"/>
      <c r="Q171" s="6"/>
      <c r="R171" s="3"/>
    </row>
    <row r="172" spans="2:18" ht="14.25" customHeight="1">
      <c r="B172" s="443"/>
      <c r="C172" s="445" t="s">
        <v>305</v>
      </c>
      <c r="D172" s="445"/>
      <c r="E172" s="28"/>
      <c r="F172" s="28"/>
      <c r="G172" s="28"/>
      <c r="H172" s="29"/>
      <c r="I172" s="28"/>
      <c r="J172" s="68"/>
      <c r="K172" s="443"/>
      <c r="L172" s="445" t="s">
        <v>305</v>
      </c>
      <c r="M172" s="445"/>
      <c r="N172" s="3"/>
      <c r="O172" s="3"/>
      <c r="P172" s="3"/>
      <c r="Q172" s="6"/>
      <c r="R172" s="3"/>
    </row>
    <row r="173" spans="2:18" ht="27.75" customHeight="1">
      <c r="B173" s="443"/>
      <c r="C173" s="445" t="s">
        <v>306</v>
      </c>
      <c r="D173" s="445"/>
      <c r="E173" s="28"/>
      <c r="F173" s="28"/>
      <c r="G173" s="28"/>
      <c r="H173" s="29"/>
      <c r="I173" s="28"/>
      <c r="J173" s="68"/>
      <c r="K173" s="443"/>
      <c r="L173" s="445" t="s">
        <v>306</v>
      </c>
      <c r="M173" s="445"/>
      <c r="N173" s="3"/>
      <c r="O173" s="3"/>
      <c r="P173" s="3"/>
      <c r="Q173" s="6"/>
      <c r="R173" s="3"/>
    </row>
    <row r="174" spans="2:18" ht="14.25" customHeight="1">
      <c r="B174" s="443"/>
      <c r="C174" s="445" t="s">
        <v>263</v>
      </c>
      <c r="D174" s="445"/>
      <c r="E174" s="28"/>
      <c r="F174" s="28"/>
      <c r="G174" s="28"/>
      <c r="H174" s="29"/>
      <c r="I174" s="30"/>
      <c r="J174" s="68"/>
      <c r="K174" s="443"/>
      <c r="L174" s="445" t="s">
        <v>263</v>
      </c>
      <c r="M174" s="445"/>
      <c r="N174" s="3"/>
      <c r="O174" s="3"/>
      <c r="P174" s="3"/>
      <c r="Q174" s="6"/>
      <c r="R174" s="1"/>
    </row>
    <row r="175" spans="2:18" ht="14.25" customHeight="1">
      <c r="B175" s="444"/>
      <c r="C175" s="445" t="s">
        <v>4</v>
      </c>
      <c r="D175" s="445"/>
      <c r="E175" s="29"/>
      <c r="F175" s="29"/>
      <c r="G175" s="29"/>
      <c r="H175" s="29"/>
      <c r="I175" s="30"/>
      <c r="J175" s="68"/>
      <c r="K175" s="444"/>
      <c r="L175" s="445" t="s">
        <v>4</v>
      </c>
      <c r="M175" s="445"/>
      <c r="N175" s="6"/>
      <c r="O175" s="6"/>
      <c r="P175" s="6"/>
      <c r="Q175" s="6"/>
      <c r="R175" s="1"/>
    </row>
    <row r="176" spans="2:18" ht="14.25" customHeight="1">
      <c r="B176" s="441" t="s">
        <v>55</v>
      </c>
      <c r="C176" s="441"/>
      <c r="D176" s="90">
        <f>D169+D170+D171+D173+D174+D175</f>
        <v>0</v>
      </c>
      <c r="E176" s="90">
        <f t="shared" ref="E176:H176" si="18">E169+E170+E171+E173+E174+E175</f>
        <v>0</v>
      </c>
      <c r="F176" s="90">
        <f t="shared" si="18"/>
        <v>0</v>
      </c>
      <c r="G176" s="90">
        <f t="shared" si="18"/>
        <v>0</v>
      </c>
      <c r="H176" s="90">
        <f t="shared" si="18"/>
        <v>0</v>
      </c>
      <c r="I176" s="30"/>
      <c r="J176" s="68"/>
      <c r="K176" s="441" t="s">
        <v>55</v>
      </c>
      <c r="L176" s="441"/>
      <c r="M176" s="27">
        <f>M169+M170+M171+M173+M174+M175</f>
        <v>0</v>
      </c>
      <c r="N176" s="27">
        <f t="shared" ref="N176:Q176" si="19">N169+N170+N171+N173+N174+N175</f>
        <v>0</v>
      </c>
      <c r="O176" s="27">
        <f t="shared" si="19"/>
        <v>0</v>
      </c>
      <c r="P176" s="27">
        <f t="shared" si="19"/>
        <v>0</v>
      </c>
      <c r="Q176" s="27">
        <f t="shared" si="19"/>
        <v>0</v>
      </c>
      <c r="R176" s="1"/>
    </row>
    <row r="177" spans="2:18" ht="14.25" customHeight="1">
      <c r="B177" s="441" t="s">
        <v>56</v>
      </c>
      <c r="C177" s="441"/>
      <c r="D177" s="90" t="e">
        <f>D168+D176</f>
        <v>#REF!</v>
      </c>
      <c r="E177" s="90" t="e">
        <f>E168+E176</f>
        <v>#REF!</v>
      </c>
      <c r="F177" s="90" t="e">
        <f>F168+F176</f>
        <v>#REF!</v>
      </c>
      <c r="G177" s="90" t="e">
        <f>G168+G176</f>
        <v>#REF!</v>
      </c>
      <c r="H177" s="90" t="e">
        <f>H168+H176</f>
        <v>#REF!</v>
      </c>
      <c r="I177" s="90"/>
      <c r="J177" s="68"/>
      <c r="K177" s="441" t="s">
        <v>56</v>
      </c>
      <c r="L177" s="441"/>
      <c r="M177" s="27" t="e">
        <f>M168+M176</f>
        <v>#REF!</v>
      </c>
      <c r="N177" s="27" t="e">
        <f>N168+N176</f>
        <v>#REF!</v>
      </c>
      <c r="O177" s="27" t="e">
        <f>O168+O176</f>
        <v>#REF!</v>
      </c>
      <c r="P177" s="27" t="e">
        <f>P168+P176</f>
        <v>#REF!</v>
      </c>
      <c r="Q177" s="27" t="e">
        <f>Q168+Q176</f>
        <v>#REF!</v>
      </c>
      <c r="R177" s="27"/>
    </row>
    <row r="178" spans="2:18" ht="14.25" customHeight="1">
      <c r="B178" s="80" t="s">
        <v>62</v>
      </c>
      <c r="C178" s="474"/>
      <c r="D178" s="475"/>
      <c r="E178" s="81"/>
      <c r="F178" s="81"/>
      <c r="G178" s="81"/>
      <c r="H178" s="81"/>
      <c r="I178" s="82"/>
      <c r="J178" s="68"/>
      <c r="K178" s="80" t="s">
        <v>62</v>
      </c>
      <c r="L178" s="81"/>
      <c r="M178" s="62"/>
      <c r="N178" s="62"/>
      <c r="O178" s="62"/>
      <c r="P178" s="62"/>
      <c r="Q178" s="62"/>
      <c r="R178" s="63"/>
    </row>
    <row r="179" spans="2:18" ht="14.25" customHeight="1">
      <c r="B179" s="200"/>
      <c r="C179" s="474" t="s">
        <v>307</v>
      </c>
      <c r="D179" s="475"/>
      <c r="E179" s="81"/>
      <c r="F179" s="81"/>
      <c r="G179" s="81"/>
      <c r="H179" s="81"/>
      <c r="I179" s="82"/>
      <c r="J179" s="68"/>
      <c r="K179" s="200"/>
      <c r="L179" s="474" t="s">
        <v>307</v>
      </c>
      <c r="M179" s="475"/>
      <c r="N179" s="62"/>
      <c r="O179" s="62"/>
      <c r="P179" s="62"/>
      <c r="Q179" s="62"/>
      <c r="R179" s="63"/>
    </row>
    <row r="180" spans="2:18" ht="14.25" customHeight="1">
      <c r="B180" s="200"/>
      <c r="C180" s="447" t="s">
        <v>308</v>
      </c>
      <c r="D180" s="447"/>
      <c r="E180" s="81"/>
      <c r="F180" s="81"/>
      <c r="G180" s="81"/>
      <c r="H180" s="81"/>
      <c r="I180" s="82"/>
      <c r="J180" s="68"/>
      <c r="K180" s="200"/>
      <c r="L180" s="447" t="s">
        <v>308</v>
      </c>
      <c r="M180" s="447"/>
      <c r="N180" s="62"/>
      <c r="O180" s="62"/>
      <c r="P180" s="62"/>
      <c r="Q180" s="62"/>
      <c r="R180" s="63"/>
    </row>
    <row r="181" spans="2:18" ht="14.25" customHeight="1">
      <c r="B181" s="442" t="s">
        <v>3</v>
      </c>
      <c r="C181" s="447" t="s">
        <v>309</v>
      </c>
      <c r="D181" s="447"/>
      <c r="E181" s="31"/>
      <c r="F181" s="31"/>
      <c r="G181" s="34"/>
      <c r="H181" s="31"/>
      <c r="I181" s="30"/>
      <c r="J181" s="68"/>
      <c r="K181" s="442" t="s">
        <v>3</v>
      </c>
      <c r="L181" s="447" t="s">
        <v>309</v>
      </c>
      <c r="M181" s="447"/>
      <c r="N181" s="31"/>
      <c r="O181" s="31"/>
      <c r="P181" s="34"/>
      <c r="Q181" s="31"/>
      <c r="R181" s="1"/>
    </row>
    <row r="182" spans="2:18" ht="14.25" customHeight="1">
      <c r="B182" s="443"/>
      <c r="C182" s="445" t="s">
        <v>293</v>
      </c>
      <c r="D182" s="445"/>
      <c r="E182" s="30"/>
      <c r="F182" s="30"/>
      <c r="G182" s="30"/>
      <c r="H182" s="30"/>
      <c r="I182" s="30"/>
      <c r="J182" s="68"/>
      <c r="K182" s="443"/>
      <c r="L182" s="445" t="s">
        <v>293</v>
      </c>
      <c r="M182" s="445"/>
      <c r="N182" s="1"/>
      <c r="O182" s="1"/>
      <c r="P182" s="1"/>
      <c r="Q182" s="1"/>
      <c r="R182" s="1"/>
    </row>
    <row r="183" spans="2:18" ht="14.25" customHeight="1">
      <c r="B183" s="443"/>
      <c r="C183" s="445" t="s">
        <v>310</v>
      </c>
      <c r="D183" s="445"/>
      <c r="E183" s="28"/>
      <c r="F183" s="28"/>
      <c r="G183" s="28"/>
      <c r="H183" s="29"/>
      <c r="I183" s="28"/>
      <c r="J183" s="68"/>
      <c r="K183" s="443"/>
      <c r="L183" s="445" t="s">
        <v>310</v>
      </c>
      <c r="M183" s="445"/>
      <c r="N183" s="3"/>
      <c r="O183" s="3"/>
      <c r="P183" s="3"/>
      <c r="Q183" s="6"/>
      <c r="R183" s="3"/>
    </row>
    <row r="184" spans="2:18" ht="14.25" customHeight="1">
      <c r="B184" s="443"/>
      <c r="C184" s="445" t="s">
        <v>311</v>
      </c>
      <c r="D184" s="445"/>
      <c r="E184" s="88">
        <v>0.27</v>
      </c>
      <c r="F184" s="88">
        <v>0.27</v>
      </c>
      <c r="G184" s="88">
        <v>6.53</v>
      </c>
      <c r="H184" s="29">
        <v>31.33</v>
      </c>
      <c r="I184" s="30"/>
      <c r="J184" s="68"/>
      <c r="K184" s="443"/>
      <c r="L184" s="445" t="s">
        <v>311</v>
      </c>
      <c r="M184" s="445"/>
      <c r="N184" s="2">
        <v>0.27</v>
      </c>
      <c r="O184" s="2">
        <v>0.27</v>
      </c>
      <c r="P184" s="2">
        <v>6.53</v>
      </c>
      <c r="Q184" s="6">
        <v>31.33</v>
      </c>
      <c r="R184" s="1"/>
    </row>
    <row r="185" spans="2:18" ht="14.25" customHeight="1">
      <c r="B185" s="444"/>
      <c r="C185" s="445" t="s">
        <v>258</v>
      </c>
      <c r="D185" s="445"/>
      <c r="E185" s="88">
        <v>5.8</v>
      </c>
      <c r="F185" s="88">
        <v>6.4</v>
      </c>
      <c r="G185" s="88">
        <v>9.4</v>
      </c>
      <c r="H185" s="29">
        <v>120</v>
      </c>
      <c r="I185" s="30"/>
      <c r="J185" s="68"/>
      <c r="K185" s="444"/>
      <c r="L185" s="445" t="s">
        <v>258</v>
      </c>
      <c r="M185" s="445"/>
      <c r="N185" s="2">
        <v>5.8</v>
      </c>
      <c r="O185" s="2">
        <v>6.4</v>
      </c>
      <c r="P185" s="2">
        <v>9.4</v>
      </c>
      <c r="Q185" s="6">
        <v>120</v>
      </c>
      <c r="R185" s="1"/>
    </row>
    <row r="186" spans="2:18" ht="14.25" customHeight="1">
      <c r="B186" s="441" t="s">
        <v>6</v>
      </c>
      <c r="C186" s="441"/>
      <c r="D186" s="94" t="e">
        <f>D181+D182+D183+D184+#REF!+D185</f>
        <v>#REF!</v>
      </c>
      <c r="E186" s="90" t="e">
        <f>E181+E182+E183+E184+#REF!+E185</f>
        <v>#REF!</v>
      </c>
      <c r="F186" s="90" t="e">
        <f>F181+F182+F183+F184+#REF!+F185</f>
        <v>#REF!</v>
      </c>
      <c r="G186" s="90" t="e">
        <f>G181+G182+G183+G184+#REF!+G185</f>
        <v>#REF!</v>
      </c>
      <c r="H186" s="90" t="e">
        <f>H181+H182+H183+H184+#REF!+H185</f>
        <v>#REF!</v>
      </c>
      <c r="I186" s="30"/>
      <c r="J186" s="68"/>
      <c r="K186" s="441" t="s">
        <v>6</v>
      </c>
      <c r="L186" s="441"/>
      <c r="M186" s="35" t="e">
        <f>M181+M182+M183+M184+#REF!+M185</f>
        <v>#REF!</v>
      </c>
      <c r="N186" s="27" t="e">
        <f>N181+N182+N183+N184+#REF!+N185</f>
        <v>#REF!</v>
      </c>
      <c r="O186" s="27" t="e">
        <f>O181+O182+O183+O184+#REF!+O185</f>
        <v>#REF!</v>
      </c>
      <c r="P186" s="27" t="e">
        <f>P181+P182+P183+P184+#REF!+P185</f>
        <v>#REF!</v>
      </c>
      <c r="Q186" s="27" t="e">
        <f>Q181+Q182+Q183+Q184+#REF!+Q185</f>
        <v>#REF!</v>
      </c>
      <c r="R186" s="1"/>
    </row>
    <row r="187" spans="2:18" ht="14.25" customHeight="1">
      <c r="B187" s="83" t="s">
        <v>54</v>
      </c>
      <c r="C187" s="445" t="s">
        <v>268</v>
      </c>
      <c r="D187" s="445"/>
      <c r="E187" s="28"/>
      <c r="F187" s="28"/>
      <c r="G187" s="28"/>
      <c r="H187" s="29"/>
      <c r="I187" s="28"/>
      <c r="J187" s="68"/>
      <c r="K187" s="83" t="s">
        <v>54</v>
      </c>
      <c r="L187" s="445" t="s">
        <v>268</v>
      </c>
      <c r="M187" s="445"/>
      <c r="N187" s="3"/>
      <c r="O187" s="3"/>
      <c r="P187" s="3"/>
      <c r="Q187" s="6"/>
      <c r="R187" s="3"/>
    </row>
    <row r="188" spans="2:18" ht="30.75" customHeight="1">
      <c r="B188" s="83"/>
      <c r="C188" s="445" t="s">
        <v>59</v>
      </c>
      <c r="D188" s="445"/>
      <c r="E188" s="28"/>
      <c r="F188" s="28"/>
      <c r="G188" s="28"/>
      <c r="H188" s="29"/>
      <c r="I188" s="28"/>
      <c r="J188" s="68"/>
      <c r="K188" s="83"/>
      <c r="L188" s="445" t="s">
        <v>59</v>
      </c>
      <c r="M188" s="445"/>
      <c r="N188" s="3"/>
      <c r="O188" s="3"/>
      <c r="P188" s="3"/>
      <c r="Q188" s="6"/>
      <c r="R188" s="3"/>
    </row>
    <row r="189" spans="2:18" ht="14.25" customHeight="1">
      <c r="B189" s="83"/>
      <c r="C189" s="445" t="s">
        <v>312</v>
      </c>
      <c r="D189" s="445"/>
      <c r="E189" s="28"/>
      <c r="F189" s="28"/>
      <c r="G189" s="28"/>
      <c r="H189" s="29"/>
      <c r="I189" s="28"/>
      <c r="J189" s="68"/>
      <c r="K189" s="83"/>
      <c r="L189" s="445" t="s">
        <v>312</v>
      </c>
      <c r="M189" s="445"/>
      <c r="N189" s="3"/>
      <c r="O189" s="3"/>
      <c r="P189" s="3"/>
      <c r="Q189" s="6"/>
      <c r="R189" s="3"/>
    </row>
    <row r="190" spans="2:18" ht="14.25" customHeight="1">
      <c r="B190" s="83"/>
      <c r="C190" s="445" t="s">
        <v>270</v>
      </c>
      <c r="D190" s="445"/>
      <c r="E190" s="28"/>
      <c r="F190" s="28"/>
      <c r="G190" s="28"/>
      <c r="H190" s="29"/>
      <c r="I190" s="28"/>
      <c r="J190" s="68"/>
      <c r="K190" s="83"/>
      <c r="L190" s="445" t="s">
        <v>270</v>
      </c>
      <c r="M190" s="445"/>
      <c r="N190" s="3"/>
      <c r="O190" s="3"/>
      <c r="P190" s="3"/>
      <c r="Q190" s="6"/>
      <c r="R190" s="3"/>
    </row>
    <row r="191" spans="2:18" ht="14.25" customHeight="1">
      <c r="B191" s="83"/>
      <c r="C191" s="445" t="s">
        <v>68</v>
      </c>
      <c r="D191" s="445"/>
      <c r="E191" s="30"/>
      <c r="F191" s="30"/>
      <c r="G191" s="30"/>
      <c r="H191" s="31"/>
      <c r="I191" s="28"/>
      <c r="J191" s="68"/>
      <c r="K191" s="83"/>
      <c r="L191" s="445" t="s">
        <v>68</v>
      </c>
      <c r="M191" s="445"/>
      <c r="N191" s="30"/>
      <c r="O191" s="30"/>
      <c r="P191" s="30"/>
      <c r="Q191" s="31"/>
      <c r="R191" s="3"/>
    </row>
    <row r="192" spans="2:18" ht="14.25" customHeight="1">
      <c r="B192" s="83"/>
      <c r="C192" s="445" t="s">
        <v>263</v>
      </c>
      <c r="D192" s="445"/>
      <c r="E192" s="28"/>
      <c r="F192" s="28"/>
      <c r="G192" s="28"/>
      <c r="H192" s="29"/>
      <c r="I192" s="30"/>
      <c r="J192" s="68"/>
      <c r="K192" s="83"/>
      <c r="L192" s="445" t="s">
        <v>263</v>
      </c>
      <c r="M192" s="445"/>
      <c r="N192" s="3"/>
      <c r="O192" s="3"/>
      <c r="P192" s="3"/>
      <c r="Q192" s="6"/>
      <c r="R192" s="1"/>
    </row>
    <row r="193" spans="2:18" ht="14.25" customHeight="1">
      <c r="B193" s="83"/>
      <c r="C193" s="445" t="s">
        <v>4</v>
      </c>
      <c r="D193" s="445"/>
      <c r="E193" s="29"/>
      <c r="F193" s="29"/>
      <c r="G193" s="29"/>
      <c r="H193" s="29"/>
      <c r="I193" s="30"/>
      <c r="J193" s="68"/>
      <c r="K193" s="83"/>
      <c r="L193" s="445" t="s">
        <v>4</v>
      </c>
      <c r="M193" s="445"/>
      <c r="N193" s="6"/>
      <c r="O193" s="6"/>
      <c r="P193" s="6"/>
      <c r="Q193" s="6"/>
      <c r="R193" s="1"/>
    </row>
    <row r="194" spans="2:18" ht="14.25" customHeight="1">
      <c r="B194" s="441" t="s">
        <v>55</v>
      </c>
      <c r="C194" s="441"/>
      <c r="D194" s="90">
        <f>D187+D188+D189+D191+D192+D193</f>
        <v>0</v>
      </c>
      <c r="E194" s="90">
        <f t="shared" ref="E194:H194" si="20">E187+E188+E189+E191+E192+E193</f>
        <v>0</v>
      </c>
      <c r="F194" s="90">
        <f t="shared" si="20"/>
        <v>0</v>
      </c>
      <c r="G194" s="90">
        <f t="shared" si="20"/>
        <v>0</v>
      </c>
      <c r="H194" s="90">
        <f t="shared" si="20"/>
        <v>0</v>
      </c>
      <c r="I194" s="30"/>
      <c r="J194" s="68"/>
      <c r="K194" s="441" t="s">
        <v>55</v>
      </c>
      <c r="L194" s="441"/>
      <c r="M194" s="27">
        <f>M187+M188+M189+M191+M192+M193</f>
        <v>0</v>
      </c>
      <c r="N194" s="27">
        <f t="shared" ref="N194:Q194" si="21">N187+N188+N189+N191+N192+N193</f>
        <v>0</v>
      </c>
      <c r="O194" s="27">
        <f t="shared" si="21"/>
        <v>0</v>
      </c>
      <c r="P194" s="27">
        <f t="shared" si="21"/>
        <v>0</v>
      </c>
      <c r="Q194" s="27">
        <f t="shared" si="21"/>
        <v>0</v>
      </c>
      <c r="R194" s="1"/>
    </row>
    <row r="195" spans="2:18" ht="14.25" customHeight="1">
      <c r="B195" s="441" t="s">
        <v>56</v>
      </c>
      <c r="C195" s="441"/>
      <c r="D195" s="94" t="e">
        <f>D186+D194</f>
        <v>#REF!</v>
      </c>
      <c r="E195" s="94" t="e">
        <f t="shared" ref="E195:H195" si="22">E186+E194</f>
        <v>#REF!</v>
      </c>
      <c r="F195" s="94" t="e">
        <f t="shared" si="22"/>
        <v>#REF!</v>
      </c>
      <c r="G195" s="94" t="e">
        <f t="shared" si="22"/>
        <v>#REF!</v>
      </c>
      <c r="H195" s="94" t="e">
        <f t="shared" si="22"/>
        <v>#REF!</v>
      </c>
      <c r="I195" s="90"/>
      <c r="J195" s="68"/>
      <c r="K195" s="441" t="s">
        <v>56</v>
      </c>
      <c r="L195" s="441"/>
      <c r="M195" s="35" t="e">
        <f>M186+M194</f>
        <v>#REF!</v>
      </c>
      <c r="N195" s="35" t="e">
        <f t="shared" ref="N195:Q195" si="23">N186+N194</f>
        <v>#REF!</v>
      </c>
      <c r="O195" s="35" t="e">
        <f t="shared" si="23"/>
        <v>#REF!</v>
      </c>
      <c r="P195" s="35" t="e">
        <f t="shared" si="23"/>
        <v>#REF!</v>
      </c>
      <c r="Q195" s="35" t="e">
        <f t="shared" si="23"/>
        <v>#REF!</v>
      </c>
      <c r="R195" s="27"/>
    </row>
    <row r="196" spans="2:18" ht="14.25" customHeight="1">
      <c r="B196" s="435" t="s">
        <v>65</v>
      </c>
      <c r="C196" s="436"/>
      <c r="D196" s="90" t="e">
        <f>(D45+D60+D76+D92+D108+D126+D143+D159+D177+D195)/10</f>
        <v>#REF!</v>
      </c>
      <c r="E196" s="90" t="e">
        <f>(E45+E60+E76+E92+E108+E126+E143+E159+E177+E195)/10</f>
        <v>#REF!</v>
      </c>
      <c r="F196" s="90" t="e">
        <f>(F45+F60+F76+F92+F108+F126+F143+F159+F177+F195)/10</f>
        <v>#REF!</v>
      </c>
      <c r="G196" s="90" t="e">
        <f>(G45+G60+G76+G92+G108+G126+G143+G159+G177+G195)/10</f>
        <v>#REF!</v>
      </c>
      <c r="H196" s="90" t="e">
        <f>(H45+H60+H76+H92+H108+H126+H143+H159+H177+H195)/10</f>
        <v>#REF!</v>
      </c>
      <c r="I196" s="30"/>
      <c r="J196" s="68"/>
      <c r="K196" s="435" t="s">
        <v>65</v>
      </c>
      <c r="L196" s="436"/>
      <c r="M196" s="27" t="e">
        <f>(M45+M60+M76+M92+M108+M126+M143+M159+M177+M195)/10</f>
        <v>#REF!</v>
      </c>
      <c r="N196" s="27" t="e">
        <f>(N45+N60+N76+N92+N108+N126+N143+N159+N177+N195)/10</f>
        <v>#REF!</v>
      </c>
      <c r="O196" s="27" t="e">
        <f>(O45+O60+O76+O92+O108+O126+O143+O159+O177+O195)/10</f>
        <v>#REF!</v>
      </c>
      <c r="P196" s="27" t="e">
        <f>(P45+P60+P76+P92+P108+P126+P143+P159+P177+P195)/10</f>
        <v>#REF!</v>
      </c>
      <c r="Q196" s="27" t="e">
        <f>(Q45+Q60+Q76+Q92+Q108+Q126+Q143+Q159+Q177+Q195)/10</f>
        <v>#REF!</v>
      </c>
      <c r="R196" s="1"/>
    </row>
    <row r="197" spans="2:18" ht="14.25" customHeight="1">
      <c r="B197" s="469" t="s">
        <v>66</v>
      </c>
      <c r="C197" s="470"/>
      <c r="D197" s="471"/>
      <c r="E197" s="95">
        <v>46.2</v>
      </c>
      <c r="F197" s="95">
        <v>47.4</v>
      </c>
      <c r="G197" s="95">
        <v>201</v>
      </c>
      <c r="H197" s="95">
        <v>1410</v>
      </c>
      <c r="I197" s="30"/>
      <c r="J197" s="68"/>
      <c r="K197" s="437" t="s">
        <v>66</v>
      </c>
      <c r="L197" s="438"/>
      <c r="M197" s="439"/>
      <c r="N197" s="36">
        <v>46.2</v>
      </c>
      <c r="O197" s="36">
        <v>47.4</v>
      </c>
      <c r="P197" s="36">
        <v>201</v>
      </c>
      <c r="Q197" s="36">
        <v>1410</v>
      </c>
      <c r="R197" s="1"/>
    </row>
    <row r="198" spans="2:18" ht="14.25" customHeight="1">
      <c r="B198" s="472" t="s">
        <v>67</v>
      </c>
      <c r="C198" s="472"/>
      <c r="D198" s="472"/>
      <c r="E198" s="96" t="e">
        <f t="shared" ref="E198:H198" si="24">E196/E197*100</f>
        <v>#REF!</v>
      </c>
      <c r="F198" s="96" t="e">
        <f t="shared" si="24"/>
        <v>#REF!</v>
      </c>
      <c r="G198" s="96" t="e">
        <f t="shared" si="24"/>
        <v>#REF!</v>
      </c>
      <c r="H198" s="96" t="e">
        <f t="shared" si="24"/>
        <v>#REF!</v>
      </c>
      <c r="I198" s="30"/>
      <c r="J198" s="68"/>
      <c r="K198" s="440" t="s">
        <v>67</v>
      </c>
      <c r="L198" s="440"/>
      <c r="M198" s="440"/>
      <c r="N198" s="37" t="e">
        <f t="shared" ref="N198:Q198" si="25">N196/N197*100</f>
        <v>#REF!</v>
      </c>
      <c r="O198" s="37" t="e">
        <f t="shared" si="25"/>
        <v>#REF!</v>
      </c>
      <c r="P198" s="37" t="e">
        <f t="shared" si="25"/>
        <v>#REF!</v>
      </c>
      <c r="Q198" s="37" t="e">
        <f t="shared" si="25"/>
        <v>#REF!</v>
      </c>
      <c r="R198" s="1"/>
    </row>
    <row r="200" spans="2:18">
      <c r="B200" s="97" t="s">
        <v>131</v>
      </c>
    </row>
  </sheetData>
  <mergeCells count="375">
    <mergeCell ref="L29:M29"/>
    <mergeCell ref="C185:D185"/>
    <mergeCell ref="C187:D187"/>
    <mergeCell ref="C188:D188"/>
    <mergeCell ref="C189:D189"/>
    <mergeCell ref="C190:D190"/>
    <mergeCell ref="C191:D191"/>
    <mergeCell ref="C178:D178"/>
    <mergeCell ref="C179:D179"/>
    <mergeCell ref="C180:D180"/>
    <mergeCell ref="C181:D181"/>
    <mergeCell ref="C182:D182"/>
    <mergeCell ref="C183:D183"/>
    <mergeCell ref="C184:D184"/>
    <mergeCell ref="L179:M179"/>
    <mergeCell ref="L180:M180"/>
    <mergeCell ref="L181:M181"/>
    <mergeCell ref="L182:M182"/>
    <mergeCell ref="L183:M183"/>
    <mergeCell ref="L184:M184"/>
    <mergeCell ref="C173:D173"/>
    <mergeCell ref="C174:D174"/>
    <mergeCell ref="L152:M152"/>
    <mergeCell ref="L153:M153"/>
    <mergeCell ref="C192:D192"/>
    <mergeCell ref="C193:D193"/>
    <mergeCell ref="L187:M187"/>
    <mergeCell ref="L188:M188"/>
    <mergeCell ref="L189:M189"/>
    <mergeCell ref="L190:M190"/>
    <mergeCell ref="L191:M191"/>
    <mergeCell ref="L192:M192"/>
    <mergeCell ref="L193:M193"/>
    <mergeCell ref="C175:D175"/>
    <mergeCell ref="L169:M169"/>
    <mergeCell ref="L170:M170"/>
    <mergeCell ref="L171:M171"/>
    <mergeCell ref="L172:M172"/>
    <mergeCell ref="L173:M173"/>
    <mergeCell ref="L174:M174"/>
    <mergeCell ref="L175:M175"/>
    <mergeCell ref="C154:D154"/>
    <mergeCell ref="C155:D155"/>
    <mergeCell ref="C156:D156"/>
    <mergeCell ref="C157:D157"/>
    <mergeCell ref="B158:C158"/>
    <mergeCell ref="C121:D121"/>
    <mergeCell ref="C122:D122"/>
    <mergeCell ref="C123:D123"/>
    <mergeCell ref="C124:D124"/>
    <mergeCell ref="B126:C126"/>
    <mergeCell ref="B129:B133"/>
    <mergeCell ref="B134:C134"/>
    <mergeCell ref="L154:M154"/>
    <mergeCell ref="L155:M155"/>
    <mergeCell ref="C147:D147"/>
    <mergeCell ref="C148:D148"/>
    <mergeCell ref="C151:D151"/>
    <mergeCell ref="C152:D152"/>
    <mergeCell ref="C153:D153"/>
    <mergeCell ref="B143:C143"/>
    <mergeCell ref="B145:B149"/>
    <mergeCell ref="B150:C150"/>
    <mergeCell ref="C128:D128"/>
    <mergeCell ref="C129:D129"/>
    <mergeCell ref="C130:D130"/>
    <mergeCell ref="L119:M119"/>
    <mergeCell ref="L120:M120"/>
    <mergeCell ref="L121:M121"/>
    <mergeCell ref="L122:M122"/>
    <mergeCell ref="L123:M123"/>
    <mergeCell ref="L124:M124"/>
    <mergeCell ref="C139:D139"/>
    <mergeCell ref="C140:D140"/>
    <mergeCell ref="C141:D141"/>
    <mergeCell ref="C145:D145"/>
    <mergeCell ref="C146:D146"/>
    <mergeCell ref="B125:C125"/>
    <mergeCell ref="K134:L134"/>
    <mergeCell ref="K135:K141"/>
    <mergeCell ref="K142:L142"/>
    <mergeCell ref="K125:L125"/>
    <mergeCell ref="C119:D119"/>
    <mergeCell ref="C120:D120"/>
    <mergeCell ref="C131:D131"/>
    <mergeCell ref="C132:D132"/>
    <mergeCell ref="C133:D133"/>
    <mergeCell ref="C135:D135"/>
    <mergeCell ref="C136:D136"/>
    <mergeCell ref="C137:D137"/>
    <mergeCell ref="C138:D138"/>
    <mergeCell ref="B135:B141"/>
    <mergeCell ref="B142:C142"/>
    <mergeCell ref="L111:M111"/>
    <mergeCell ref="L112:M112"/>
    <mergeCell ref="L113:M113"/>
    <mergeCell ref="L114:M114"/>
    <mergeCell ref="L115:M115"/>
    <mergeCell ref="C117:D117"/>
    <mergeCell ref="C118:D118"/>
    <mergeCell ref="K111:K115"/>
    <mergeCell ref="K116:L116"/>
    <mergeCell ref="C111:D111"/>
    <mergeCell ref="C112:D112"/>
    <mergeCell ref="C113:D113"/>
    <mergeCell ref="L117:M117"/>
    <mergeCell ref="L118:M118"/>
    <mergeCell ref="C80:D80"/>
    <mergeCell ref="C81:D81"/>
    <mergeCell ref="C82:D82"/>
    <mergeCell ref="L78:M78"/>
    <mergeCell ref="L79:M79"/>
    <mergeCell ref="L80:M80"/>
    <mergeCell ref="L81:M81"/>
    <mergeCell ref="L82:M82"/>
    <mergeCell ref="C84:D84"/>
    <mergeCell ref="K83:L83"/>
    <mergeCell ref="K84:K90"/>
    <mergeCell ref="C85:D85"/>
    <mergeCell ref="C86:D86"/>
    <mergeCell ref="C87:D87"/>
    <mergeCell ref="C88:D88"/>
    <mergeCell ref="C89:D89"/>
    <mergeCell ref="C90:D90"/>
    <mergeCell ref="L84:M84"/>
    <mergeCell ref="L85:M85"/>
    <mergeCell ref="L86:M86"/>
    <mergeCell ref="L87:M87"/>
    <mergeCell ref="L88:M88"/>
    <mergeCell ref="L89:M89"/>
    <mergeCell ref="L90:M90"/>
    <mergeCell ref="B196:C196"/>
    <mergeCell ref="B197:D197"/>
    <mergeCell ref="B198:D198"/>
    <mergeCell ref="B177:C177"/>
    <mergeCell ref="B181:B185"/>
    <mergeCell ref="B186:C186"/>
    <mergeCell ref="B194:C194"/>
    <mergeCell ref="B195:C195"/>
    <mergeCell ref="B159:C159"/>
    <mergeCell ref="B163:B167"/>
    <mergeCell ref="B168:C168"/>
    <mergeCell ref="B169:B175"/>
    <mergeCell ref="B176:C176"/>
    <mergeCell ref="C161:D161"/>
    <mergeCell ref="C162:D162"/>
    <mergeCell ref="C163:D163"/>
    <mergeCell ref="C164:D164"/>
    <mergeCell ref="C165:D165"/>
    <mergeCell ref="C166:D166"/>
    <mergeCell ref="C167:D167"/>
    <mergeCell ref="C169:D169"/>
    <mergeCell ref="C170:D170"/>
    <mergeCell ref="C171:D171"/>
    <mergeCell ref="C172:D172"/>
    <mergeCell ref="B92:C92"/>
    <mergeCell ref="B94:B98"/>
    <mergeCell ref="B99:C99"/>
    <mergeCell ref="B100:B106"/>
    <mergeCell ref="B107:C107"/>
    <mergeCell ref="B108:C108"/>
    <mergeCell ref="B111:B115"/>
    <mergeCell ref="B116:C116"/>
    <mergeCell ref="C94:D94"/>
    <mergeCell ref="C95:D95"/>
    <mergeCell ref="C96:D96"/>
    <mergeCell ref="C97:D97"/>
    <mergeCell ref="C98:D98"/>
    <mergeCell ref="C100:D100"/>
    <mergeCell ref="C101:D101"/>
    <mergeCell ref="C102:D102"/>
    <mergeCell ref="C103:D103"/>
    <mergeCell ref="C104:D104"/>
    <mergeCell ref="C105:D105"/>
    <mergeCell ref="C106:D106"/>
    <mergeCell ref="C114:D114"/>
    <mergeCell ref="C115:D115"/>
    <mergeCell ref="B91:C91"/>
    <mergeCell ref="B60:C60"/>
    <mergeCell ref="B67:C67"/>
    <mergeCell ref="B69:B74"/>
    <mergeCell ref="B75:C75"/>
    <mergeCell ref="B76:C76"/>
    <mergeCell ref="B78:B82"/>
    <mergeCell ref="B83:C83"/>
    <mergeCell ref="B84:B90"/>
    <mergeCell ref="C61:D61"/>
    <mergeCell ref="C62:D62"/>
    <mergeCell ref="C63:D63"/>
    <mergeCell ref="C64:D64"/>
    <mergeCell ref="C65:D65"/>
    <mergeCell ref="C66:D66"/>
    <mergeCell ref="C68:D68"/>
    <mergeCell ref="C69:D69"/>
    <mergeCell ref="C70:D70"/>
    <mergeCell ref="C71:D71"/>
    <mergeCell ref="C72:D72"/>
    <mergeCell ref="C73:D73"/>
    <mergeCell ref="C74:D74"/>
    <mergeCell ref="C78:D78"/>
    <mergeCell ref="C79:D79"/>
    <mergeCell ref="B18:I18"/>
    <mergeCell ref="B25:B26"/>
    <mergeCell ref="C25:C26"/>
    <mergeCell ref="D25:D26"/>
    <mergeCell ref="E25:G25"/>
    <mergeCell ref="H25:H26"/>
    <mergeCell ref="I25:I26"/>
    <mergeCell ref="B59:C59"/>
    <mergeCell ref="B30:B34"/>
    <mergeCell ref="B35:C35"/>
    <mergeCell ref="B36:B42"/>
    <mergeCell ref="B43:C43"/>
    <mergeCell ref="B52:C52"/>
    <mergeCell ref="B53:B58"/>
    <mergeCell ref="C36:D36"/>
    <mergeCell ref="C37:D37"/>
    <mergeCell ref="C38:D38"/>
    <mergeCell ref="C39:D39"/>
    <mergeCell ref="C40:D40"/>
    <mergeCell ref="C41:D41"/>
    <mergeCell ref="C42:D42"/>
    <mergeCell ref="C28:D28"/>
    <mergeCell ref="C29:D29"/>
    <mergeCell ref="B17:I17"/>
    <mergeCell ref="K12:R12"/>
    <mergeCell ref="K13:R13"/>
    <mergeCell ref="K14:R14"/>
    <mergeCell ref="K15:R15"/>
    <mergeCell ref="K16:R16"/>
    <mergeCell ref="K17:R17"/>
    <mergeCell ref="B12:I12"/>
    <mergeCell ref="B13:I13"/>
    <mergeCell ref="B14:I14"/>
    <mergeCell ref="B15:I15"/>
    <mergeCell ref="B16:I16"/>
    <mergeCell ref="K27:R27"/>
    <mergeCell ref="K28:R28"/>
    <mergeCell ref="K30:K34"/>
    <mergeCell ref="K35:L35"/>
    <mergeCell ref="K36:K42"/>
    <mergeCell ref="K18:R18"/>
    <mergeCell ref="K25:K26"/>
    <mergeCell ref="L25:L26"/>
    <mergeCell ref="M25:M26"/>
    <mergeCell ref="N25:P25"/>
    <mergeCell ref="Q25:Q26"/>
    <mergeCell ref="R25:R26"/>
    <mergeCell ref="L30:M30"/>
    <mergeCell ref="L31:M31"/>
    <mergeCell ref="L32:M32"/>
    <mergeCell ref="L33:M33"/>
    <mergeCell ref="L34:M34"/>
    <mergeCell ref="L36:M36"/>
    <mergeCell ref="L37:M37"/>
    <mergeCell ref="L38:M38"/>
    <mergeCell ref="L39:M39"/>
    <mergeCell ref="L40:M40"/>
    <mergeCell ref="L41:M41"/>
    <mergeCell ref="L42:M42"/>
    <mergeCell ref="K59:L59"/>
    <mergeCell ref="K60:L60"/>
    <mergeCell ref="K43:L43"/>
    <mergeCell ref="K52:L52"/>
    <mergeCell ref="K78:K82"/>
    <mergeCell ref="L46:M46"/>
    <mergeCell ref="L47:M47"/>
    <mergeCell ref="L48:M48"/>
    <mergeCell ref="L49:M49"/>
    <mergeCell ref="L50:M50"/>
    <mergeCell ref="L51:M51"/>
    <mergeCell ref="L61:M61"/>
    <mergeCell ref="L62:M62"/>
    <mergeCell ref="L63:M63"/>
    <mergeCell ref="L64:M64"/>
    <mergeCell ref="L65:M65"/>
    <mergeCell ref="L66:M66"/>
    <mergeCell ref="L68:M68"/>
    <mergeCell ref="L69:M69"/>
    <mergeCell ref="L70:M70"/>
    <mergeCell ref="L71:M71"/>
    <mergeCell ref="L72:M72"/>
    <mergeCell ref="L73:M73"/>
    <mergeCell ref="K44:R44"/>
    <mergeCell ref="K91:L91"/>
    <mergeCell ref="K92:L92"/>
    <mergeCell ref="K67:L67"/>
    <mergeCell ref="K69:K74"/>
    <mergeCell ref="K75:L75"/>
    <mergeCell ref="K76:L76"/>
    <mergeCell ref="K108:L108"/>
    <mergeCell ref="L74:M74"/>
    <mergeCell ref="L94:M94"/>
    <mergeCell ref="L95:M95"/>
    <mergeCell ref="L96:M96"/>
    <mergeCell ref="L97:M97"/>
    <mergeCell ref="L98:M98"/>
    <mergeCell ref="L100:M100"/>
    <mergeCell ref="L101:M101"/>
    <mergeCell ref="L102:M102"/>
    <mergeCell ref="L103:M103"/>
    <mergeCell ref="L104:M104"/>
    <mergeCell ref="L105:M105"/>
    <mergeCell ref="L106:M106"/>
    <mergeCell ref="K94:K98"/>
    <mergeCell ref="K99:L99"/>
    <mergeCell ref="K100:K106"/>
    <mergeCell ref="K107:L107"/>
    <mergeCell ref="K126:L126"/>
    <mergeCell ref="K129:K133"/>
    <mergeCell ref="K195:L195"/>
    <mergeCell ref="L128:M128"/>
    <mergeCell ref="L129:M129"/>
    <mergeCell ref="L130:M130"/>
    <mergeCell ref="L131:M131"/>
    <mergeCell ref="L132:M132"/>
    <mergeCell ref="L133:M133"/>
    <mergeCell ref="L135:M135"/>
    <mergeCell ref="L136:M136"/>
    <mergeCell ref="L137:M137"/>
    <mergeCell ref="L138:M138"/>
    <mergeCell ref="L139:M139"/>
    <mergeCell ref="L140:M140"/>
    <mergeCell ref="L141:M141"/>
    <mergeCell ref="L161:M161"/>
    <mergeCell ref="L162:M162"/>
    <mergeCell ref="L146:M146"/>
    <mergeCell ref="L147:M147"/>
    <mergeCell ref="L145:M145"/>
    <mergeCell ref="L156:M156"/>
    <mergeCell ref="L157:M157"/>
    <mergeCell ref="K196:L196"/>
    <mergeCell ref="K197:M197"/>
    <mergeCell ref="K198:M198"/>
    <mergeCell ref="K177:L177"/>
    <mergeCell ref="K181:K185"/>
    <mergeCell ref="K186:L186"/>
    <mergeCell ref="K194:L194"/>
    <mergeCell ref="K143:L143"/>
    <mergeCell ref="K163:K167"/>
    <mergeCell ref="K168:L168"/>
    <mergeCell ref="K169:K175"/>
    <mergeCell ref="K176:L176"/>
    <mergeCell ref="K145:K149"/>
    <mergeCell ref="K150:L150"/>
    <mergeCell ref="K158:L158"/>
    <mergeCell ref="K159:L159"/>
    <mergeCell ref="L185:M185"/>
    <mergeCell ref="L163:M163"/>
    <mergeCell ref="L164:M164"/>
    <mergeCell ref="L165:M165"/>
    <mergeCell ref="L166:M166"/>
    <mergeCell ref="L167:M167"/>
    <mergeCell ref="L148:M148"/>
    <mergeCell ref="L151:M151"/>
    <mergeCell ref="K45:R45"/>
    <mergeCell ref="C55:D55"/>
    <mergeCell ref="C56:D56"/>
    <mergeCell ref="C57:D57"/>
    <mergeCell ref="C58:D58"/>
    <mergeCell ref="L53:M53"/>
    <mergeCell ref="L54:M54"/>
    <mergeCell ref="L55:M55"/>
    <mergeCell ref="L56:M56"/>
    <mergeCell ref="L57:M57"/>
    <mergeCell ref="L58:M58"/>
    <mergeCell ref="C53:D53"/>
    <mergeCell ref="C54:D54"/>
    <mergeCell ref="C46:D46"/>
    <mergeCell ref="C47:D47"/>
    <mergeCell ref="C48:D48"/>
    <mergeCell ref="C49:D49"/>
    <mergeCell ref="C50:D50"/>
    <mergeCell ref="C51:D51"/>
    <mergeCell ref="K53:K58"/>
  </mergeCells>
  <pageMargins left="0.25" right="0.25" top="0.75" bottom="0.75" header="0.3" footer="0.3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606"/>
  <sheetViews>
    <sheetView zoomScale="80" zoomScaleNormal="8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I91" sqref="I91"/>
    </sheetView>
  </sheetViews>
  <sheetFormatPr defaultRowHeight="15"/>
  <cols>
    <col min="1" max="1" width="11.28515625" style="5" customWidth="1"/>
    <col min="2" max="2" width="11" style="38" customWidth="1"/>
    <col min="3" max="3" width="30.28515625" style="5" customWidth="1"/>
    <col min="4" max="4" width="7.7109375" style="8" customWidth="1"/>
    <col min="5" max="5" width="20" style="5" customWidth="1"/>
    <col min="6" max="6" width="13.28515625" style="5" customWidth="1"/>
    <col min="7" max="7" width="10.85546875" style="5" customWidth="1"/>
    <col min="8" max="8" width="8.42578125" style="5" customWidth="1"/>
    <col min="9" max="10" width="9.42578125" style="5" customWidth="1"/>
    <col min="11" max="11" width="9.140625" style="38"/>
    <col min="12" max="12" width="9.140625" style="5"/>
    <col min="13" max="13" width="12.42578125" style="5" bestFit="1" customWidth="1"/>
    <col min="14" max="16384" width="9.140625" style="4"/>
  </cols>
  <sheetData>
    <row r="1" spans="1:13" ht="15" customHeight="1">
      <c r="A1" s="103"/>
      <c r="B1" s="104"/>
      <c r="C1" s="103"/>
      <c r="D1" s="44"/>
      <c r="E1" s="44"/>
      <c r="F1" s="44"/>
      <c r="G1" s="44"/>
      <c r="H1" s="44"/>
      <c r="I1" s="44"/>
      <c r="J1" s="4"/>
      <c r="K1" s="175"/>
      <c r="L1" s="44"/>
      <c r="M1" s="44"/>
    </row>
    <row r="2" spans="1:13" s="168" customFormat="1" ht="53.25" customHeight="1">
      <c r="A2" s="113" t="s">
        <v>185</v>
      </c>
      <c r="B2" s="114">
        <f>(B4+B36+B80+B105+B133+B157+B179+B216+B243+B286)/10</f>
        <v>64.677455286315791</v>
      </c>
      <c r="C2" s="163"/>
      <c r="D2" s="164" t="s">
        <v>186</v>
      </c>
      <c r="E2" s="164"/>
      <c r="F2" s="164"/>
      <c r="G2" s="164"/>
      <c r="H2" s="164"/>
      <c r="I2" s="164"/>
      <c r="J2" s="165" t="s">
        <v>187</v>
      </c>
      <c r="K2" s="176" t="s">
        <v>22</v>
      </c>
      <c r="L2" s="166"/>
      <c r="M2" s="167" t="e">
        <f>(M3+M36+M80+M105+M133+M157+M179+M216+M243+M287)/10</f>
        <v>#REF!</v>
      </c>
    </row>
    <row r="3" spans="1:13" ht="15.75">
      <c r="A3" s="189" t="s">
        <v>188</v>
      </c>
      <c r="B3" s="117" t="s">
        <v>189</v>
      </c>
      <c r="C3" s="189" t="s">
        <v>190</v>
      </c>
      <c r="D3" s="190">
        <v>150</v>
      </c>
      <c r="E3" s="190"/>
      <c r="F3" s="190"/>
      <c r="G3" s="190"/>
      <c r="H3" s="190"/>
      <c r="I3" s="190"/>
      <c r="J3" s="11">
        <v>70</v>
      </c>
      <c r="K3" s="116">
        <f>J3*D3/1000</f>
        <v>10.5</v>
      </c>
      <c r="L3" s="44"/>
      <c r="M3" s="105">
        <f>K3+K4+K5+K17+K33</f>
        <v>19.689679999999999</v>
      </c>
    </row>
    <row r="4" spans="1:13" s="12" customFormat="1" ht="15.75">
      <c r="A4" s="115" t="s">
        <v>191</v>
      </c>
      <c r="B4" s="138">
        <f>K4+K10+K14+K28+K33</f>
        <v>73.346380000000011</v>
      </c>
      <c r="C4" s="115" t="s">
        <v>209</v>
      </c>
      <c r="D4" s="54">
        <v>60</v>
      </c>
      <c r="E4" s="54"/>
      <c r="F4" s="480" t="s">
        <v>181</v>
      </c>
      <c r="G4" s="480"/>
      <c r="H4" s="480" t="s">
        <v>182</v>
      </c>
      <c r="I4" s="480"/>
      <c r="J4" s="5"/>
      <c r="K4" s="180">
        <f>K5+K6+K7</f>
        <v>3.5234999999999999</v>
      </c>
      <c r="L4" s="44"/>
      <c r="M4" s="44"/>
    </row>
    <row r="5" spans="1:13" ht="15.75">
      <c r="A5" s="115"/>
      <c r="B5" s="169">
        <f>D4+D10+D14+D28+D33</f>
        <v>500</v>
      </c>
      <c r="C5" s="115"/>
      <c r="D5" s="54"/>
      <c r="E5" s="120" t="s">
        <v>85</v>
      </c>
      <c r="F5" s="46">
        <v>56.3</v>
      </c>
      <c r="G5" s="46"/>
      <c r="H5" s="481">
        <v>45</v>
      </c>
      <c r="I5" s="481"/>
      <c r="J5" s="5">
        <v>35</v>
      </c>
      <c r="K5" s="38">
        <f>F5*J5/1000</f>
        <v>1.9704999999999999</v>
      </c>
      <c r="L5" s="44"/>
      <c r="M5" s="44"/>
    </row>
    <row r="6" spans="1:13" ht="15" customHeight="1">
      <c r="A6" s="115"/>
      <c r="B6" s="170"/>
      <c r="C6" s="115"/>
      <c r="D6" s="54"/>
      <c r="E6" s="120" t="s">
        <v>210</v>
      </c>
      <c r="F6" s="46">
        <v>21.5</v>
      </c>
      <c r="G6" s="46"/>
      <c r="H6" s="481">
        <v>15</v>
      </c>
      <c r="I6" s="481"/>
      <c r="J6" s="5">
        <v>70</v>
      </c>
      <c r="K6" s="38">
        <f>F6*J6/1000</f>
        <v>1.5049999999999999</v>
      </c>
      <c r="L6" s="44"/>
      <c r="M6" s="44"/>
    </row>
    <row r="7" spans="1:13" ht="15" customHeight="1">
      <c r="A7" s="115"/>
      <c r="B7" s="169"/>
      <c r="C7" s="115"/>
      <c r="D7" s="54"/>
      <c r="E7" s="120" t="s">
        <v>103</v>
      </c>
      <c r="F7" s="46">
        <v>0.6</v>
      </c>
      <c r="G7" s="46"/>
      <c r="H7" s="481">
        <v>0.6</v>
      </c>
      <c r="I7" s="481"/>
      <c r="J7" s="5">
        <v>80</v>
      </c>
      <c r="K7" s="38">
        <f>F7*J7/1000</f>
        <v>4.8000000000000001E-2</v>
      </c>
      <c r="L7" s="44"/>
      <c r="M7" s="44"/>
    </row>
    <row r="8" spans="1:13" ht="15" customHeight="1">
      <c r="A8" s="115"/>
      <c r="B8" s="169"/>
      <c r="C8" s="115"/>
      <c r="D8" s="54"/>
      <c r="E8" s="45" t="s">
        <v>74</v>
      </c>
      <c r="F8" s="478" t="s">
        <v>30</v>
      </c>
      <c r="G8" s="478"/>
      <c r="H8" s="482">
        <v>60</v>
      </c>
      <c r="I8" s="482"/>
      <c r="L8" s="44"/>
      <c r="M8" s="44"/>
    </row>
    <row r="9" spans="1:13" ht="15.75">
      <c r="A9" s="115"/>
      <c r="B9" s="157"/>
      <c r="C9" s="115"/>
      <c r="D9" s="54"/>
      <c r="E9" s="54"/>
      <c r="F9" s="54"/>
      <c r="G9" s="54"/>
      <c r="H9" s="54"/>
      <c r="I9" s="54"/>
      <c r="L9" s="44"/>
      <c r="M9" s="44"/>
    </row>
    <row r="10" spans="1:13" ht="14.25" customHeight="1">
      <c r="A10" s="115"/>
      <c r="B10" s="169"/>
      <c r="C10" s="115" t="s">
        <v>211</v>
      </c>
      <c r="D10" s="54">
        <v>30</v>
      </c>
      <c r="E10" s="54"/>
      <c r="F10" s="480" t="s">
        <v>181</v>
      </c>
      <c r="G10" s="480"/>
      <c r="H10" s="480" t="s">
        <v>182</v>
      </c>
      <c r="I10" s="480"/>
      <c r="K10" s="180">
        <f>K11</f>
        <v>4.5</v>
      </c>
      <c r="L10" s="44"/>
      <c r="M10" s="44"/>
    </row>
    <row r="11" spans="1:13" ht="15.75">
      <c r="A11" s="115"/>
      <c r="B11" s="169"/>
      <c r="C11" s="115"/>
      <c r="D11" s="54"/>
      <c r="E11" s="120" t="s">
        <v>212</v>
      </c>
      <c r="F11" s="46">
        <v>30</v>
      </c>
      <c r="G11" s="46"/>
      <c r="H11" s="481">
        <v>30</v>
      </c>
      <c r="I11" s="481"/>
      <c r="J11" s="5">
        <v>150</v>
      </c>
      <c r="K11" s="38">
        <f>F11*J11/1000</f>
        <v>4.5</v>
      </c>
      <c r="L11" s="44"/>
      <c r="M11" s="44"/>
    </row>
    <row r="12" spans="1:13" ht="15.75">
      <c r="A12" s="115"/>
      <c r="B12" s="169"/>
      <c r="C12" s="115"/>
      <c r="D12" s="54"/>
      <c r="E12" s="54"/>
      <c r="F12" s="478" t="s">
        <v>30</v>
      </c>
      <c r="G12" s="478"/>
      <c r="H12" s="482">
        <v>20</v>
      </c>
      <c r="I12" s="482"/>
      <c r="L12" s="44"/>
      <c r="M12" s="44"/>
    </row>
    <row r="13" spans="1:13" ht="15.75">
      <c r="A13" s="115"/>
      <c r="B13" s="157"/>
      <c r="C13" s="115"/>
      <c r="D13" s="54"/>
      <c r="E13" s="54"/>
      <c r="F13" s="54"/>
      <c r="G13" s="54"/>
      <c r="H13" s="54"/>
      <c r="I13" s="54"/>
      <c r="L13" s="44"/>
      <c r="M13" s="44"/>
    </row>
    <row r="14" spans="1:13" ht="15.75">
      <c r="A14" s="115"/>
      <c r="B14" s="169"/>
      <c r="C14" s="140" t="s">
        <v>213</v>
      </c>
      <c r="D14" s="54">
        <v>170</v>
      </c>
      <c r="E14" s="54"/>
      <c r="F14" s="49" t="s">
        <v>181</v>
      </c>
      <c r="G14" s="49" t="s">
        <v>182</v>
      </c>
      <c r="H14" s="480"/>
      <c r="I14" s="480"/>
      <c r="K14" s="180">
        <f>K15+K16+K17+K18+K19+K20+K21+K22+K23+K24+K25</f>
        <v>61.112879999999997</v>
      </c>
      <c r="L14" s="44"/>
      <c r="M14" s="44"/>
    </row>
    <row r="15" spans="1:13" ht="15.75">
      <c r="A15" s="121"/>
      <c r="B15" s="169"/>
      <c r="C15" s="115"/>
      <c r="D15" s="54"/>
      <c r="E15" s="7" t="s">
        <v>77</v>
      </c>
      <c r="F15" s="425">
        <v>158.1</v>
      </c>
      <c r="G15" s="425">
        <v>158.1</v>
      </c>
      <c r="H15" s="481"/>
      <c r="I15" s="481"/>
      <c r="J15" s="5">
        <v>318</v>
      </c>
      <c r="K15" s="38">
        <f t="shared" ref="K15:K25" si="0">J15*F15/1000</f>
        <v>50.275799999999997</v>
      </c>
      <c r="L15" s="44"/>
      <c r="M15" s="44"/>
    </row>
    <row r="16" spans="1:13" ht="15.75">
      <c r="A16" s="115"/>
      <c r="B16" s="169"/>
      <c r="C16" s="115"/>
      <c r="D16" s="54"/>
      <c r="E16" s="7" t="s">
        <v>174</v>
      </c>
      <c r="F16" s="425">
        <v>5.9</v>
      </c>
      <c r="G16" s="425">
        <v>5.9</v>
      </c>
      <c r="H16" s="481"/>
      <c r="I16" s="481"/>
      <c r="J16" s="5">
        <v>200</v>
      </c>
      <c r="K16" s="38">
        <f t="shared" si="0"/>
        <v>1.18</v>
      </c>
      <c r="L16" s="44"/>
      <c r="M16" s="44"/>
    </row>
    <row r="17" spans="1:13" ht="15.75">
      <c r="A17" s="115"/>
      <c r="B17" s="169"/>
      <c r="C17" s="115"/>
      <c r="D17" s="54"/>
      <c r="E17" s="7" t="s">
        <v>76</v>
      </c>
      <c r="F17" s="425">
        <v>4.9800000000000004</v>
      </c>
      <c r="G17" s="425">
        <v>4.54</v>
      </c>
      <c r="H17" s="481"/>
      <c r="I17" s="481"/>
      <c r="J17" s="131">
        <v>216</v>
      </c>
      <c r="K17" s="38">
        <f t="shared" si="0"/>
        <v>1.07568</v>
      </c>
      <c r="L17" s="44"/>
      <c r="M17" s="44"/>
    </row>
    <row r="18" spans="1:13" ht="15.75">
      <c r="A18" s="115"/>
      <c r="B18" s="169"/>
      <c r="C18" s="115"/>
      <c r="D18" s="54"/>
      <c r="E18" s="7" t="s">
        <v>78</v>
      </c>
      <c r="F18" s="425">
        <v>11</v>
      </c>
      <c r="G18" s="425">
        <v>11</v>
      </c>
      <c r="H18" s="483"/>
      <c r="I18" s="483"/>
      <c r="J18" s="131">
        <v>46</v>
      </c>
      <c r="K18" s="38">
        <f t="shared" si="0"/>
        <v>0.50600000000000001</v>
      </c>
      <c r="L18" s="44"/>
      <c r="M18" s="44"/>
    </row>
    <row r="19" spans="1:13" ht="15.75">
      <c r="A19" s="115"/>
      <c r="B19" s="169"/>
      <c r="C19" s="115"/>
      <c r="D19" s="54"/>
      <c r="E19" s="7" t="s">
        <v>28</v>
      </c>
      <c r="F19" s="425">
        <v>11</v>
      </c>
      <c r="G19" s="425">
        <v>11</v>
      </c>
      <c r="H19" s="481"/>
      <c r="I19" s="481"/>
      <c r="J19" s="5">
        <v>80</v>
      </c>
      <c r="K19" s="38">
        <f t="shared" si="0"/>
        <v>0.88</v>
      </c>
      <c r="L19" s="44"/>
      <c r="M19" s="44"/>
    </row>
    <row r="20" spans="1:13" ht="15.75">
      <c r="A20" s="115"/>
      <c r="B20" s="169"/>
      <c r="C20" s="115"/>
      <c r="D20" s="54"/>
      <c r="E20" s="7" t="s">
        <v>109</v>
      </c>
      <c r="F20" s="425">
        <v>5.9</v>
      </c>
      <c r="G20" s="425">
        <v>5.9</v>
      </c>
      <c r="H20" s="481"/>
      <c r="I20" s="481"/>
      <c r="J20" s="5">
        <v>228</v>
      </c>
      <c r="K20" s="38">
        <f t="shared" si="0"/>
        <v>1.3452</v>
      </c>
      <c r="L20" s="44"/>
      <c r="M20" s="44"/>
    </row>
    <row r="21" spans="1:13" ht="15.75">
      <c r="A21" s="115"/>
      <c r="B21" s="157"/>
      <c r="C21" s="115"/>
      <c r="D21" s="54"/>
      <c r="E21" s="7" t="s">
        <v>20</v>
      </c>
      <c r="F21" s="425">
        <v>5.9</v>
      </c>
      <c r="G21" s="425">
        <v>5.9</v>
      </c>
      <c r="H21" s="481"/>
      <c r="I21" s="481"/>
      <c r="J21" s="5">
        <v>990</v>
      </c>
      <c r="K21" s="38">
        <f t="shared" si="0"/>
        <v>5.8410000000000002</v>
      </c>
      <c r="L21" s="44"/>
      <c r="M21" s="44"/>
    </row>
    <row r="22" spans="1:13" ht="25.5">
      <c r="A22" s="115"/>
      <c r="B22" s="157"/>
      <c r="C22" s="115"/>
      <c r="D22" s="54"/>
      <c r="E22" s="7" t="s">
        <v>29</v>
      </c>
      <c r="F22" s="425">
        <v>0.46</v>
      </c>
      <c r="G22" s="425">
        <v>0.46</v>
      </c>
      <c r="H22" s="481"/>
      <c r="I22" s="481"/>
      <c r="J22" s="5">
        <v>20</v>
      </c>
      <c r="K22" s="38">
        <f t="shared" si="0"/>
        <v>9.2000000000000016E-3</v>
      </c>
      <c r="L22" s="44"/>
      <c r="M22" s="44"/>
    </row>
    <row r="23" spans="1:13" ht="15.75">
      <c r="A23" s="115"/>
      <c r="B23" s="157"/>
      <c r="C23" s="115"/>
      <c r="D23" s="54"/>
      <c r="E23" s="7" t="s">
        <v>27</v>
      </c>
      <c r="F23" s="425">
        <v>40.799999999999997</v>
      </c>
      <c r="G23" s="425">
        <v>40.799999999999997</v>
      </c>
      <c r="H23" s="481"/>
      <c r="I23" s="481"/>
      <c r="J23" s="5">
        <v>0</v>
      </c>
      <c r="K23" s="38">
        <f t="shared" si="0"/>
        <v>0</v>
      </c>
      <c r="L23" s="44"/>
      <c r="M23" s="44"/>
    </row>
    <row r="24" spans="1:13" ht="15.75">
      <c r="A24" s="115"/>
      <c r="B24" s="157"/>
      <c r="C24" s="115"/>
      <c r="D24" s="54"/>
      <c r="E24" s="7" t="s">
        <v>79</v>
      </c>
      <c r="F24" s="425">
        <v>0.05</v>
      </c>
      <c r="G24" s="425">
        <v>0.05</v>
      </c>
      <c r="H24" s="481"/>
      <c r="I24" s="481"/>
      <c r="J24" s="39"/>
      <c r="K24" s="38">
        <f t="shared" si="0"/>
        <v>0</v>
      </c>
      <c r="L24" s="44"/>
      <c r="M24" s="44"/>
    </row>
    <row r="25" spans="1:13" ht="15.75">
      <c r="A25" s="115"/>
      <c r="B25" s="157"/>
      <c r="C25" s="115"/>
      <c r="D25" s="54"/>
      <c r="E25" s="40" t="s">
        <v>21</v>
      </c>
      <c r="F25" s="489">
        <v>170</v>
      </c>
      <c r="G25" s="489"/>
      <c r="H25" s="481"/>
      <c r="I25" s="481"/>
      <c r="K25" s="38">
        <f t="shared" si="0"/>
        <v>0</v>
      </c>
      <c r="L25" s="44"/>
      <c r="M25" s="44"/>
    </row>
    <row r="26" spans="1:13" ht="15.75">
      <c r="A26" s="115"/>
      <c r="B26" s="157"/>
      <c r="C26" s="115"/>
      <c r="D26" s="54"/>
      <c r="E26" s="45"/>
      <c r="F26" s="478"/>
      <c r="G26" s="478"/>
      <c r="H26" s="482"/>
      <c r="I26" s="482"/>
      <c r="L26" s="44"/>
      <c r="M26" s="44"/>
    </row>
    <row r="27" spans="1:13" ht="15.75">
      <c r="A27" s="115"/>
      <c r="B27" s="157"/>
      <c r="C27" s="115"/>
      <c r="D27" s="54"/>
      <c r="E27" s="54"/>
      <c r="F27" s="54"/>
      <c r="G27" s="54"/>
      <c r="H27" s="54"/>
      <c r="I27" s="54"/>
      <c r="L27" s="44"/>
      <c r="M27" s="44"/>
    </row>
    <row r="28" spans="1:13" ht="15.75">
      <c r="A28" s="115"/>
      <c r="B28" s="157"/>
      <c r="C28" s="115" t="s">
        <v>68</v>
      </c>
      <c r="D28" s="54">
        <v>200</v>
      </c>
      <c r="E28" s="54"/>
      <c r="F28" s="480" t="s">
        <v>181</v>
      </c>
      <c r="G28" s="480"/>
      <c r="H28" s="480" t="s">
        <v>182</v>
      </c>
      <c r="I28" s="480"/>
      <c r="K28" s="180">
        <f>K29+K30</f>
        <v>1.5899999999999999</v>
      </c>
      <c r="L28" s="44"/>
      <c r="M28" s="44"/>
    </row>
    <row r="29" spans="1:13" ht="15.75">
      <c r="A29" s="115"/>
      <c r="B29" s="157"/>
      <c r="C29" s="115"/>
      <c r="D29" s="54"/>
      <c r="E29" s="120" t="s">
        <v>157</v>
      </c>
      <c r="F29" s="46">
        <v>0.6</v>
      </c>
      <c r="G29" s="46"/>
      <c r="H29" s="481">
        <v>0.6</v>
      </c>
      <c r="I29" s="481"/>
      <c r="J29" s="5">
        <v>650</v>
      </c>
      <c r="K29" s="38">
        <f>F29*J29/1000</f>
        <v>0.39</v>
      </c>
      <c r="L29" s="44"/>
      <c r="M29" s="44"/>
    </row>
    <row r="30" spans="1:13" ht="15.75">
      <c r="A30" s="115"/>
      <c r="B30" s="157"/>
      <c r="C30" s="115"/>
      <c r="D30" s="54"/>
      <c r="E30" s="48" t="s">
        <v>103</v>
      </c>
      <c r="F30" s="46">
        <v>15</v>
      </c>
      <c r="G30" s="46"/>
      <c r="H30" s="481">
        <v>15</v>
      </c>
      <c r="I30" s="481"/>
      <c r="J30" s="5">
        <v>80</v>
      </c>
      <c r="K30" s="38">
        <f>F30*J30/1000</f>
        <v>1.2</v>
      </c>
      <c r="L30" s="44"/>
      <c r="M30" s="44"/>
    </row>
    <row r="31" spans="1:13" ht="15.75">
      <c r="A31" s="115"/>
      <c r="B31" s="157"/>
      <c r="C31" s="115"/>
      <c r="D31" s="54"/>
      <c r="E31" s="45" t="s">
        <v>74</v>
      </c>
      <c r="F31" s="478" t="s">
        <v>30</v>
      </c>
      <c r="G31" s="478"/>
      <c r="H31" s="482">
        <v>200</v>
      </c>
      <c r="I31" s="482"/>
      <c r="L31" s="44"/>
      <c r="M31" s="44"/>
    </row>
    <row r="32" spans="1:13" ht="15.75">
      <c r="A32" s="115"/>
      <c r="B32" s="157"/>
      <c r="C32" s="115"/>
      <c r="D32" s="54"/>
      <c r="E32" s="54"/>
      <c r="F32" s="54"/>
      <c r="G32" s="54"/>
      <c r="H32" s="54"/>
      <c r="I32" s="54"/>
      <c r="L32" s="44"/>
      <c r="M32" s="44"/>
    </row>
    <row r="33" spans="1:13" ht="15.75">
      <c r="A33" s="115"/>
      <c r="B33" s="157"/>
      <c r="C33" s="115" t="s">
        <v>214</v>
      </c>
      <c r="D33" s="54">
        <v>40</v>
      </c>
      <c r="E33" s="54"/>
      <c r="F33" s="54"/>
      <c r="G33" s="54"/>
      <c r="H33" s="54"/>
      <c r="I33" s="54"/>
      <c r="J33" s="5">
        <v>65.5</v>
      </c>
      <c r="K33" s="180">
        <f>D33*J33/1000</f>
        <v>2.62</v>
      </c>
      <c r="L33" s="44"/>
      <c r="M33" s="44"/>
    </row>
    <row r="34" spans="1:13" ht="16.5" thickBot="1">
      <c r="A34" s="115"/>
      <c r="B34" s="157"/>
      <c r="C34" s="115"/>
      <c r="D34" s="54"/>
      <c r="E34" s="54"/>
      <c r="F34" s="54"/>
      <c r="G34" s="54"/>
      <c r="H34" s="54"/>
      <c r="I34" s="54"/>
      <c r="L34" s="107"/>
      <c r="M34" s="107"/>
    </row>
    <row r="35" spans="1:13" s="25" customFormat="1" ht="15.75">
      <c r="A35" s="189" t="s">
        <v>195</v>
      </c>
      <c r="B35" s="117" t="s">
        <v>189</v>
      </c>
      <c r="C35" s="190"/>
      <c r="D35" s="190"/>
      <c r="E35" s="190"/>
      <c r="F35" s="190"/>
      <c r="G35" s="190"/>
      <c r="H35" s="190"/>
      <c r="I35" s="190"/>
      <c r="J35" s="11"/>
      <c r="K35" s="116"/>
      <c r="L35" s="44"/>
      <c r="M35" s="44"/>
    </row>
    <row r="36" spans="1:13" s="12" customFormat="1" ht="15.75">
      <c r="A36" s="115" t="s">
        <v>196</v>
      </c>
      <c r="B36" s="128">
        <f>K36+K38+K63+K69+K76</f>
        <v>63.775556600000009</v>
      </c>
      <c r="C36" s="129" t="s">
        <v>197</v>
      </c>
      <c r="D36" s="130">
        <v>40</v>
      </c>
      <c r="E36" s="130"/>
      <c r="F36" s="130">
        <v>42</v>
      </c>
      <c r="G36" s="130"/>
      <c r="H36" s="130"/>
      <c r="I36" s="130"/>
      <c r="J36" s="131"/>
      <c r="K36" s="178">
        <f>J36*F36/1000</f>
        <v>0</v>
      </c>
      <c r="L36" s="108"/>
      <c r="M36" s="44">
        <f>K38+K63+K69+K76</f>
        <v>63.775556600000009</v>
      </c>
    </row>
    <row r="37" spans="1:13" ht="15.75">
      <c r="A37" s="115"/>
      <c r="B37" s="157">
        <f>D35+D38+D63+D69+D76</f>
        <v>480</v>
      </c>
      <c r="C37" s="115"/>
      <c r="D37" s="54"/>
      <c r="E37" s="54"/>
      <c r="F37" s="54"/>
      <c r="G37" s="54"/>
      <c r="H37" s="54"/>
      <c r="I37" s="54"/>
      <c r="K37" s="177"/>
      <c r="L37" s="108"/>
      <c r="M37" s="44"/>
    </row>
    <row r="38" spans="1:13" ht="15.75">
      <c r="A38" s="115"/>
      <c r="B38" s="132"/>
      <c r="C38" s="133" t="s">
        <v>198</v>
      </c>
      <c r="D38" s="54">
        <v>90</v>
      </c>
      <c r="E38" s="54"/>
      <c r="F38" s="109">
        <v>1</v>
      </c>
      <c r="G38" s="109"/>
      <c r="H38" s="109"/>
      <c r="I38" s="109"/>
      <c r="K38" s="179">
        <f>SUM(K40:K59)</f>
        <v>45.149556600000011</v>
      </c>
      <c r="L38" s="108"/>
      <c r="M38" s="44"/>
    </row>
    <row r="39" spans="1:13" ht="15.75">
      <c r="A39" s="115"/>
      <c r="B39" s="157"/>
      <c r="C39" s="115"/>
      <c r="D39" s="54"/>
      <c r="E39" s="54"/>
      <c r="F39" s="110" t="s">
        <v>181</v>
      </c>
      <c r="G39" s="110"/>
      <c r="H39" s="110" t="s">
        <v>182</v>
      </c>
      <c r="I39" s="110"/>
      <c r="L39" s="108"/>
      <c r="M39" s="44"/>
    </row>
    <row r="40" spans="1:13" ht="25.5">
      <c r="A40" s="54"/>
      <c r="B40" s="169"/>
      <c r="C40" s="115"/>
      <c r="D40" s="54"/>
      <c r="E40" s="7" t="s">
        <v>199</v>
      </c>
      <c r="F40" s="7">
        <v>63.36</v>
      </c>
      <c r="G40" s="7"/>
      <c r="H40" s="98">
        <v>46.62</v>
      </c>
      <c r="I40" s="98"/>
      <c r="J40" s="5">
        <v>614</v>
      </c>
      <c r="K40" s="38">
        <f>F40*J40/1000</f>
        <v>38.903040000000004</v>
      </c>
      <c r="L40" s="44"/>
      <c r="M40" s="44"/>
    </row>
    <row r="41" spans="1:13" ht="15.75">
      <c r="A41" s="54"/>
      <c r="B41" s="169"/>
      <c r="C41" s="115"/>
      <c r="D41" s="54"/>
      <c r="E41" s="7" t="s">
        <v>26</v>
      </c>
      <c r="F41" s="7">
        <v>15.12</v>
      </c>
      <c r="G41" s="7"/>
      <c r="H41" s="98">
        <v>15.12</v>
      </c>
      <c r="I41" s="98"/>
      <c r="J41" s="5">
        <v>69</v>
      </c>
      <c r="K41" s="38">
        <f>F41*J41/1000</f>
        <v>1.04328</v>
      </c>
      <c r="L41" s="44"/>
      <c r="M41" s="44"/>
    </row>
    <row r="42" spans="1:13" ht="15.75">
      <c r="A42" s="54"/>
      <c r="B42" s="169"/>
      <c r="C42" s="115"/>
      <c r="D42" s="54"/>
      <c r="E42" s="7" t="s">
        <v>90</v>
      </c>
      <c r="F42" s="7">
        <v>15.12</v>
      </c>
      <c r="G42" s="7"/>
      <c r="H42" s="98">
        <v>15.12</v>
      </c>
      <c r="I42" s="98"/>
      <c r="L42" s="44"/>
      <c r="M42" s="44"/>
    </row>
    <row r="43" spans="1:13" ht="15.75">
      <c r="A43" s="54"/>
      <c r="B43" s="169"/>
      <c r="C43" s="115"/>
      <c r="D43" s="54"/>
      <c r="E43" s="7" t="s">
        <v>4</v>
      </c>
      <c r="F43" s="7">
        <v>11.34</v>
      </c>
      <c r="G43" s="7"/>
      <c r="H43" s="98">
        <v>11.34</v>
      </c>
      <c r="I43" s="98"/>
      <c r="J43" s="5">
        <v>55.1</v>
      </c>
      <c r="K43" s="38">
        <f>F43*J43/1000</f>
        <v>0.62483400000000011</v>
      </c>
      <c r="L43" s="44"/>
      <c r="M43" s="44"/>
    </row>
    <row r="44" spans="1:13" ht="15.75">
      <c r="A44" s="54"/>
      <c r="B44" s="169"/>
      <c r="C44" s="115"/>
      <c r="D44" s="54"/>
      <c r="E44" s="7" t="s">
        <v>174</v>
      </c>
      <c r="F44" s="7">
        <v>6.3</v>
      </c>
      <c r="G44" s="7"/>
      <c r="H44" s="98">
        <v>6.3</v>
      </c>
      <c r="I44" s="98"/>
      <c r="J44" s="5">
        <v>200</v>
      </c>
      <c r="K44" s="38">
        <f>F44*J44/1000</f>
        <v>1.26</v>
      </c>
      <c r="L44" s="44"/>
      <c r="M44" s="44"/>
    </row>
    <row r="45" spans="1:13" ht="25.5">
      <c r="A45" s="54"/>
      <c r="B45" s="169"/>
      <c r="C45" s="115"/>
      <c r="D45" s="54"/>
      <c r="E45" s="7" t="s">
        <v>80</v>
      </c>
      <c r="F45" s="7" t="s">
        <v>30</v>
      </c>
      <c r="G45" s="7"/>
      <c r="H45" s="98">
        <v>78.12</v>
      </c>
      <c r="I45" s="98"/>
      <c r="L45" s="44"/>
      <c r="M45" s="44"/>
    </row>
    <row r="46" spans="1:13" ht="15.75">
      <c r="A46" s="54"/>
      <c r="B46" s="169"/>
      <c r="C46" s="115"/>
      <c r="D46" s="54"/>
      <c r="E46" s="7" t="s">
        <v>81</v>
      </c>
      <c r="F46" s="134">
        <v>3.78</v>
      </c>
      <c r="G46" s="134"/>
      <c r="H46" s="98">
        <v>3.78</v>
      </c>
      <c r="I46" s="98"/>
      <c r="J46" s="5">
        <v>177.17</v>
      </c>
      <c r="K46" s="38">
        <f>F46*J46/1000</f>
        <v>0.66970259999999993</v>
      </c>
      <c r="L46" s="44"/>
      <c r="M46" s="44"/>
    </row>
    <row r="47" spans="1:13" ht="25.5">
      <c r="A47" s="54"/>
      <c r="B47" s="169"/>
      <c r="C47" s="115"/>
      <c r="D47" s="54"/>
      <c r="E47" s="7" t="s">
        <v>200</v>
      </c>
      <c r="F47" s="7" t="s">
        <v>30</v>
      </c>
      <c r="G47" s="7"/>
      <c r="H47" s="98" t="s">
        <v>30</v>
      </c>
      <c r="I47" s="98"/>
      <c r="L47" s="44"/>
      <c r="M47" s="44"/>
    </row>
    <row r="48" spans="1:13" ht="25.5">
      <c r="A48" s="54"/>
      <c r="B48" s="169"/>
      <c r="C48" s="115"/>
      <c r="D48" s="54"/>
      <c r="E48" s="7" t="s">
        <v>201</v>
      </c>
      <c r="F48" s="7" t="s">
        <v>30</v>
      </c>
      <c r="G48" s="7"/>
      <c r="H48" s="98">
        <v>63</v>
      </c>
      <c r="I48" s="98"/>
      <c r="L48" s="44"/>
      <c r="M48" s="44"/>
    </row>
    <row r="49" spans="1:13" ht="15.75">
      <c r="A49" s="54"/>
      <c r="B49" s="169"/>
      <c r="C49" s="115"/>
      <c r="D49" s="54"/>
      <c r="E49" s="7" t="s">
        <v>202</v>
      </c>
      <c r="F49" s="7" t="s">
        <v>30</v>
      </c>
      <c r="G49" s="7"/>
      <c r="H49" s="98">
        <v>27</v>
      </c>
      <c r="I49" s="98"/>
      <c r="L49" s="44"/>
      <c r="M49" s="44"/>
    </row>
    <row r="50" spans="1:13" ht="15.75">
      <c r="A50" s="54"/>
      <c r="B50" s="169"/>
      <c r="C50" s="115"/>
      <c r="D50" s="54"/>
      <c r="E50" s="7" t="s">
        <v>88</v>
      </c>
      <c r="F50" s="7">
        <v>24.3</v>
      </c>
      <c r="G50" s="7"/>
      <c r="H50" s="98">
        <v>24.3</v>
      </c>
      <c r="I50" s="98"/>
      <c r="L50" s="44"/>
      <c r="M50" s="44"/>
    </row>
    <row r="51" spans="1:13" ht="15.75">
      <c r="A51" s="54"/>
      <c r="B51" s="169"/>
      <c r="C51" s="115"/>
      <c r="D51" s="54"/>
      <c r="E51" s="7" t="s">
        <v>90</v>
      </c>
      <c r="F51" s="7">
        <v>24.3</v>
      </c>
      <c r="G51" s="7"/>
      <c r="H51" s="98">
        <v>24.3</v>
      </c>
      <c r="I51" s="98"/>
      <c r="L51" s="44"/>
      <c r="M51" s="44"/>
    </row>
    <row r="52" spans="1:13" ht="15.75">
      <c r="A52" s="54"/>
      <c r="B52" s="169"/>
      <c r="C52" s="115"/>
      <c r="D52" s="54"/>
      <c r="E52" s="7" t="s">
        <v>20</v>
      </c>
      <c r="F52" s="135">
        <v>1.26</v>
      </c>
      <c r="G52" s="135"/>
      <c r="H52" s="98">
        <v>1.26</v>
      </c>
      <c r="I52" s="98"/>
      <c r="J52" s="5">
        <v>990</v>
      </c>
      <c r="K52" s="38">
        <f t="shared" ref="K52:K59" si="1">F52*J52/1000</f>
        <v>1.2474000000000001</v>
      </c>
      <c r="L52" s="44"/>
      <c r="M52" s="44"/>
    </row>
    <row r="53" spans="1:13" s="12" customFormat="1" ht="15.75">
      <c r="A53" s="54"/>
      <c r="B53" s="169"/>
      <c r="C53" s="115"/>
      <c r="D53" s="54"/>
      <c r="E53" s="7" t="s">
        <v>115</v>
      </c>
      <c r="F53" s="7">
        <v>1.26</v>
      </c>
      <c r="G53" s="7"/>
      <c r="H53" s="98">
        <v>1.26</v>
      </c>
      <c r="I53" s="98"/>
      <c r="J53" s="5">
        <v>39</v>
      </c>
      <c r="K53" s="38">
        <f t="shared" si="1"/>
        <v>4.9140000000000003E-2</v>
      </c>
      <c r="L53" s="44"/>
      <c r="M53" s="44"/>
    </row>
    <row r="54" spans="1:13" ht="15.75">
      <c r="A54" s="54"/>
      <c r="B54" s="169"/>
      <c r="C54" s="115"/>
      <c r="D54" s="54"/>
      <c r="E54" s="7" t="s">
        <v>85</v>
      </c>
      <c r="F54" s="7">
        <v>2.0699999999999998</v>
      </c>
      <c r="G54" s="7"/>
      <c r="H54" s="98">
        <v>1.62</v>
      </c>
      <c r="I54" s="98"/>
      <c r="J54" s="5">
        <v>35</v>
      </c>
      <c r="K54" s="38">
        <f t="shared" si="1"/>
        <v>7.2449999999999987E-2</v>
      </c>
      <c r="L54" s="44"/>
      <c r="M54" s="44"/>
    </row>
    <row r="55" spans="1:13" ht="15.75">
      <c r="A55" s="54"/>
      <c r="B55" s="169"/>
      <c r="C55" s="115"/>
      <c r="D55" s="54"/>
      <c r="E55" s="7" t="s">
        <v>86</v>
      </c>
      <c r="F55" s="7">
        <v>0.63</v>
      </c>
      <c r="G55" s="7"/>
      <c r="H55" s="98">
        <v>0.54</v>
      </c>
      <c r="I55" s="98"/>
      <c r="J55" s="5">
        <v>27</v>
      </c>
      <c r="K55" s="38">
        <f t="shared" si="1"/>
        <v>1.7010000000000001E-2</v>
      </c>
      <c r="L55" s="44"/>
      <c r="M55" s="44"/>
    </row>
    <row r="56" spans="1:13" ht="15.75">
      <c r="A56" s="54"/>
      <c r="B56" s="169"/>
      <c r="C56" s="115"/>
      <c r="D56" s="54"/>
      <c r="E56" s="7" t="s">
        <v>20</v>
      </c>
      <c r="F56" s="135">
        <v>0.45</v>
      </c>
      <c r="G56" s="135"/>
      <c r="H56" s="98">
        <v>0.45</v>
      </c>
      <c r="I56" s="98"/>
      <c r="J56" s="5">
        <v>990</v>
      </c>
      <c r="K56" s="38">
        <f t="shared" si="1"/>
        <v>0.44550000000000001</v>
      </c>
      <c r="L56" s="44"/>
      <c r="M56" s="44"/>
    </row>
    <row r="57" spans="1:13" ht="25.5">
      <c r="A57" s="54"/>
      <c r="B57" s="169"/>
      <c r="C57" s="115"/>
      <c r="D57" s="54"/>
      <c r="E57" s="7" t="s">
        <v>29</v>
      </c>
      <c r="F57" s="7">
        <v>0.09</v>
      </c>
      <c r="G57" s="7"/>
      <c r="H57" s="98">
        <v>0.09</v>
      </c>
      <c r="I57" s="98"/>
      <c r="J57" s="5">
        <v>20</v>
      </c>
      <c r="K57" s="38">
        <f t="shared" si="1"/>
        <v>1.7999999999999997E-3</v>
      </c>
      <c r="L57" s="44"/>
      <c r="M57" s="44"/>
    </row>
    <row r="58" spans="1:13" ht="15.75">
      <c r="A58" s="54"/>
      <c r="B58" s="169"/>
      <c r="C58" s="115"/>
      <c r="D58" s="54"/>
      <c r="E58" s="7" t="s">
        <v>28</v>
      </c>
      <c r="F58" s="7">
        <v>0.27</v>
      </c>
      <c r="G58" s="7"/>
      <c r="H58" s="98">
        <v>0.27</v>
      </c>
      <c r="I58" s="98"/>
      <c r="J58" s="5">
        <v>80</v>
      </c>
      <c r="K58" s="38">
        <f t="shared" si="1"/>
        <v>2.1600000000000001E-2</v>
      </c>
      <c r="L58" s="44"/>
      <c r="M58" s="44"/>
    </row>
    <row r="59" spans="1:13" ht="15.75">
      <c r="A59" s="54"/>
      <c r="B59" s="169"/>
      <c r="C59" s="115"/>
      <c r="D59" s="54"/>
      <c r="E59" s="7" t="s">
        <v>203</v>
      </c>
      <c r="F59" s="7">
        <v>3.78</v>
      </c>
      <c r="G59" s="7"/>
      <c r="H59" s="98">
        <v>3.78</v>
      </c>
      <c r="I59" s="98"/>
      <c r="J59" s="5">
        <v>210</v>
      </c>
      <c r="K59" s="38">
        <f t="shared" si="1"/>
        <v>0.79379999999999995</v>
      </c>
      <c r="L59" s="44"/>
      <c r="M59" s="44"/>
    </row>
    <row r="60" spans="1:13" ht="15.75">
      <c r="A60" s="54"/>
      <c r="B60" s="169"/>
      <c r="C60" s="115"/>
      <c r="D60" s="54"/>
      <c r="E60" s="40" t="s">
        <v>21</v>
      </c>
      <c r="F60" s="101">
        <v>90</v>
      </c>
      <c r="G60" s="101"/>
      <c r="H60" s="101"/>
      <c r="I60" s="101"/>
      <c r="L60" s="44"/>
      <c r="M60" s="44"/>
    </row>
    <row r="61" spans="1:13" ht="15.75">
      <c r="A61" s="54"/>
      <c r="B61" s="169"/>
      <c r="C61" s="115"/>
      <c r="D61" s="54"/>
      <c r="E61" s="45"/>
      <c r="F61" s="101"/>
      <c r="G61" s="101"/>
      <c r="H61" s="102"/>
      <c r="I61" s="102"/>
      <c r="L61" s="44"/>
      <c r="M61" s="44"/>
    </row>
    <row r="62" spans="1:13" ht="15.75">
      <c r="A62" s="54"/>
      <c r="B62" s="169"/>
      <c r="C62" s="115"/>
      <c r="D62" s="54"/>
      <c r="E62" s="54"/>
      <c r="F62" s="54"/>
      <c r="G62" s="54"/>
      <c r="H62" s="54"/>
      <c r="I62" s="54"/>
      <c r="L62" s="44"/>
      <c r="M62" s="44"/>
    </row>
    <row r="63" spans="1:13" ht="15.75">
      <c r="A63" s="54"/>
      <c r="B63" s="169"/>
      <c r="C63" s="115" t="s">
        <v>72</v>
      </c>
      <c r="D63" s="54">
        <v>150</v>
      </c>
      <c r="E63" s="54"/>
      <c r="F63" s="100" t="s">
        <v>181</v>
      </c>
      <c r="G63" s="100"/>
      <c r="H63" s="100" t="s">
        <v>182</v>
      </c>
      <c r="I63" s="100"/>
      <c r="K63" s="179">
        <f>K64+K65+K66</f>
        <v>6.5619999999999994</v>
      </c>
      <c r="L63" s="44"/>
      <c r="M63" s="44"/>
    </row>
    <row r="64" spans="1:13" ht="15.75">
      <c r="A64" s="54"/>
      <c r="B64" s="169"/>
      <c r="C64" s="115"/>
      <c r="D64" s="54"/>
      <c r="E64" s="120" t="s">
        <v>25</v>
      </c>
      <c r="F64" s="46">
        <v>38</v>
      </c>
      <c r="G64" s="46"/>
      <c r="H64" s="136">
        <v>38</v>
      </c>
      <c r="I64" s="136"/>
      <c r="J64" s="5">
        <v>94</v>
      </c>
      <c r="K64" s="38">
        <f>J64*F64/1000</f>
        <v>3.5720000000000001</v>
      </c>
      <c r="L64" s="44"/>
      <c r="M64" s="44"/>
    </row>
    <row r="65" spans="1:13" ht="15.75">
      <c r="A65" s="54"/>
      <c r="B65" s="169"/>
      <c r="C65" s="115"/>
      <c r="D65" s="54"/>
      <c r="E65" s="120" t="s">
        <v>20</v>
      </c>
      <c r="F65" s="137">
        <v>3</v>
      </c>
      <c r="G65" s="137"/>
      <c r="H65" s="136">
        <v>3</v>
      </c>
      <c r="I65" s="136"/>
      <c r="J65" s="5">
        <v>990</v>
      </c>
      <c r="K65" s="38">
        <f>J65*F65/1000</f>
        <v>2.97</v>
      </c>
      <c r="L65" s="44"/>
      <c r="M65" s="44"/>
    </row>
    <row r="66" spans="1:13" ht="15.75">
      <c r="A66" s="54"/>
      <c r="B66" s="169"/>
      <c r="C66" s="115"/>
      <c r="D66" s="54"/>
      <c r="E66" s="120" t="s">
        <v>94</v>
      </c>
      <c r="F66" s="46">
        <v>1</v>
      </c>
      <c r="G66" s="46"/>
      <c r="H66" s="136">
        <v>1</v>
      </c>
      <c r="I66" s="136"/>
      <c r="J66" s="5">
        <v>20</v>
      </c>
      <c r="K66" s="38">
        <f>J66*F66/1000</f>
        <v>0.02</v>
      </c>
      <c r="L66" s="44"/>
      <c r="M66" s="44"/>
    </row>
    <row r="67" spans="1:13" ht="15.75">
      <c r="A67" s="115"/>
      <c r="B67" s="157"/>
      <c r="C67" s="115"/>
      <c r="D67" s="54"/>
      <c r="E67" s="45" t="s">
        <v>74</v>
      </c>
      <c r="F67" s="101" t="s">
        <v>30</v>
      </c>
      <c r="G67" s="101"/>
      <c r="H67" s="102">
        <v>150</v>
      </c>
      <c r="I67" s="102"/>
      <c r="L67" s="44"/>
      <c r="M67" s="44"/>
    </row>
    <row r="68" spans="1:13" ht="15.75">
      <c r="A68" s="54"/>
      <c r="B68" s="169"/>
      <c r="C68" s="115"/>
      <c r="D68" s="54"/>
      <c r="E68" s="54"/>
      <c r="F68" s="54"/>
      <c r="G68" s="54"/>
      <c r="H68" s="54"/>
      <c r="I68" s="54"/>
      <c r="L68" s="44"/>
      <c r="M68" s="44"/>
    </row>
    <row r="69" spans="1:13" ht="15.75">
      <c r="A69" s="115"/>
      <c r="B69" s="157"/>
      <c r="C69" s="115" t="s">
        <v>204</v>
      </c>
      <c r="D69" s="54">
        <v>200</v>
      </c>
      <c r="E69" s="54"/>
      <c r="F69" s="100" t="s">
        <v>181</v>
      </c>
      <c r="G69" s="100"/>
      <c r="H69" s="100" t="s">
        <v>182</v>
      </c>
      <c r="I69" s="100"/>
      <c r="K69" s="179">
        <f>SUM(K70:K73)</f>
        <v>9.86</v>
      </c>
      <c r="L69" s="44"/>
      <c r="M69" s="44"/>
    </row>
    <row r="70" spans="1:13" ht="15.75">
      <c r="A70" s="115"/>
      <c r="B70" s="157"/>
      <c r="C70" s="115"/>
      <c r="D70" s="54"/>
      <c r="E70" s="120" t="s">
        <v>205</v>
      </c>
      <c r="F70" s="46">
        <v>4</v>
      </c>
      <c r="G70" s="46"/>
      <c r="H70" s="136">
        <v>4</v>
      </c>
      <c r="I70" s="136"/>
      <c r="J70" s="5">
        <v>440</v>
      </c>
      <c r="K70" s="38">
        <f>J70*F70/1000</f>
        <v>1.76</v>
      </c>
      <c r="L70" s="44"/>
      <c r="M70" s="44"/>
    </row>
    <row r="71" spans="1:13" s="12" customFormat="1" ht="15.75">
      <c r="A71" s="115"/>
      <c r="B71" s="157"/>
      <c r="C71" s="115"/>
      <c r="D71" s="54"/>
      <c r="E71" s="48" t="s">
        <v>103</v>
      </c>
      <c r="F71" s="46">
        <v>15</v>
      </c>
      <c r="G71" s="46"/>
      <c r="H71" s="136">
        <v>15</v>
      </c>
      <c r="I71" s="136"/>
      <c r="J71" s="5">
        <v>80</v>
      </c>
      <c r="K71" s="38">
        <f>J71*F71/1000</f>
        <v>1.2</v>
      </c>
      <c r="L71" s="44"/>
      <c r="M71" s="44"/>
    </row>
    <row r="72" spans="1:13" ht="15.75">
      <c r="A72" s="115"/>
      <c r="B72" s="157"/>
      <c r="C72" s="115"/>
      <c r="D72" s="54"/>
      <c r="E72" s="48" t="s">
        <v>206</v>
      </c>
      <c r="F72" s="46">
        <v>100</v>
      </c>
      <c r="G72" s="46"/>
      <c r="H72" s="481">
        <v>100</v>
      </c>
      <c r="I72" s="481"/>
      <c r="J72" s="5">
        <v>69</v>
      </c>
      <c r="K72" s="38">
        <f>J72*F72/1000</f>
        <v>6.9</v>
      </c>
      <c r="L72" s="44"/>
      <c r="M72" s="44"/>
    </row>
    <row r="73" spans="1:13" ht="15.75">
      <c r="A73" s="115"/>
      <c r="B73" s="157"/>
      <c r="C73" s="115"/>
      <c r="D73" s="54"/>
      <c r="E73" s="48" t="s">
        <v>27</v>
      </c>
      <c r="F73" s="46">
        <v>81</v>
      </c>
      <c r="G73" s="46"/>
      <c r="H73" s="481">
        <v>81</v>
      </c>
      <c r="I73" s="481"/>
      <c r="J73" s="5">
        <v>0</v>
      </c>
      <c r="K73" s="38">
        <f>J73*F73/1000</f>
        <v>0</v>
      </c>
      <c r="L73" s="44"/>
      <c r="M73" s="44"/>
    </row>
    <row r="74" spans="1:13" ht="15.75">
      <c r="A74" s="115"/>
      <c r="B74" s="157"/>
      <c r="C74" s="115"/>
      <c r="D74" s="54"/>
      <c r="E74" s="45" t="s">
        <v>74</v>
      </c>
      <c r="F74" s="478" t="s">
        <v>30</v>
      </c>
      <c r="G74" s="478"/>
      <c r="H74" s="482">
        <v>200</v>
      </c>
      <c r="I74" s="482"/>
      <c r="L74" s="44"/>
      <c r="M74" s="44"/>
    </row>
    <row r="75" spans="1:13" ht="15.75">
      <c r="A75" s="115"/>
      <c r="B75" s="157"/>
      <c r="C75" s="115"/>
      <c r="D75" s="54"/>
      <c r="E75" s="54"/>
      <c r="F75" s="54"/>
      <c r="G75" s="54"/>
      <c r="H75" s="54"/>
      <c r="I75" s="54"/>
      <c r="L75" s="44"/>
      <c r="M75" s="44"/>
    </row>
    <row r="76" spans="1:13" ht="15.75">
      <c r="A76" s="115"/>
      <c r="B76" s="157"/>
      <c r="C76" s="115" t="s">
        <v>69</v>
      </c>
      <c r="D76" s="54">
        <v>40</v>
      </c>
      <c r="E76" s="54"/>
      <c r="F76" s="54"/>
      <c r="G76" s="54"/>
      <c r="H76" s="54"/>
      <c r="I76" s="54"/>
      <c r="J76" s="5">
        <v>55.1</v>
      </c>
      <c r="K76" s="179">
        <f>J76*D76/1000</f>
        <v>2.2040000000000002</v>
      </c>
      <c r="L76" s="44"/>
      <c r="M76" s="44"/>
    </row>
    <row r="77" spans="1:13" ht="15.75">
      <c r="A77" s="115"/>
      <c r="B77" s="157"/>
      <c r="C77" s="115"/>
      <c r="D77" s="54"/>
      <c r="E77" s="54"/>
      <c r="F77" s="54"/>
      <c r="G77" s="54"/>
      <c r="H77" s="54"/>
      <c r="I77" s="54"/>
      <c r="L77" s="44"/>
      <c r="M77" s="44"/>
    </row>
    <row r="78" spans="1:13" ht="16.5" thickBot="1">
      <c r="A78" s="115"/>
      <c r="B78" s="157"/>
      <c r="C78" s="115"/>
      <c r="D78" s="54"/>
      <c r="E78" s="54"/>
      <c r="F78" s="54"/>
      <c r="G78" s="54"/>
      <c r="H78" s="54"/>
      <c r="I78" s="54"/>
      <c r="L78" s="107"/>
      <c r="M78" s="107"/>
    </row>
    <row r="79" spans="1:13" ht="15.75">
      <c r="A79" s="189" t="s">
        <v>207</v>
      </c>
      <c r="B79" s="117" t="s">
        <v>189</v>
      </c>
      <c r="C79" s="189"/>
      <c r="D79" s="190"/>
      <c r="E79" s="190"/>
      <c r="F79" s="190"/>
      <c r="G79" s="190"/>
      <c r="H79" s="190"/>
      <c r="I79" s="190"/>
      <c r="J79" s="11"/>
      <c r="K79" s="116"/>
      <c r="L79" s="44"/>
      <c r="M79" s="44"/>
    </row>
    <row r="80" spans="1:13" ht="15.75">
      <c r="A80" s="115" t="s">
        <v>208</v>
      </c>
      <c r="B80" s="117">
        <f>K79+K80+K81+K93+K102</f>
        <v>40.630000000000003</v>
      </c>
      <c r="C80" s="115" t="s">
        <v>192</v>
      </c>
      <c r="D80" s="54">
        <v>20</v>
      </c>
      <c r="E80" s="54"/>
      <c r="F80" s="54">
        <v>21</v>
      </c>
      <c r="G80" s="54"/>
      <c r="H80" s="54"/>
      <c r="I80" s="54"/>
      <c r="J80" s="5">
        <v>550</v>
      </c>
      <c r="K80" s="116">
        <f>F80*J80/1000</f>
        <v>11.55</v>
      </c>
      <c r="L80" s="44"/>
      <c r="M80" s="44" t="e">
        <f>K80+K86+K90+#REF!+#REF!</f>
        <v>#REF!</v>
      </c>
    </row>
    <row r="81" spans="1:13" ht="15.75">
      <c r="A81" s="54"/>
      <c r="B81" s="157">
        <f>D79+D80+D81+D93+D102</f>
        <v>460</v>
      </c>
      <c r="C81" s="115" t="s">
        <v>193</v>
      </c>
      <c r="D81" s="54">
        <v>200</v>
      </c>
      <c r="E81" s="484" t="s">
        <v>15</v>
      </c>
      <c r="F81" s="118" t="s">
        <v>16</v>
      </c>
      <c r="G81" s="118"/>
      <c r="H81" s="118"/>
      <c r="I81" s="118"/>
      <c r="K81" s="116">
        <f>SUM(K84:K89)</f>
        <v>16.656000000000002</v>
      </c>
      <c r="L81" s="44"/>
      <c r="M81" s="44"/>
    </row>
    <row r="82" spans="1:13" ht="15.75">
      <c r="A82" s="54"/>
      <c r="B82" s="157"/>
      <c r="C82" s="115"/>
      <c r="D82" s="54"/>
      <c r="E82" s="484"/>
      <c r="F82" s="119">
        <v>1</v>
      </c>
      <c r="G82" s="119"/>
      <c r="H82" s="119"/>
      <c r="I82" s="119"/>
      <c r="L82" s="44"/>
      <c r="M82" s="44"/>
    </row>
    <row r="83" spans="1:13" ht="15.75">
      <c r="A83" s="54"/>
      <c r="B83" s="157"/>
      <c r="C83" s="115"/>
      <c r="D83" s="54"/>
      <c r="E83" s="484"/>
      <c r="F83" s="49" t="s">
        <v>181</v>
      </c>
      <c r="G83" s="49"/>
      <c r="H83" s="49" t="s">
        <v>182</v>
      </c>
      <c r="I83" s="49"/>
      <c r="L83" s="44"/>
      <c r="M83" s="44"/>
    </row>
    <row r="84" spans="1:13" ht="15.75">
      <c r="A84" s="54"/>
      <c r="B84" s="157"/>
      <c r="C84" s="115"/>
      <c r="D84" s="54"/>
      <c r="E84" s="120" t="s">
        <v>194</v>
      </c>
      <c r="F84" s="46">
        <v>40</v>
      </c>
      <c r="G84" s="46"/>
      <c r="H84" s="46">
        <f t="shared" ref="H84:H89" si="2">F84</f>
        <v>40</v>
      </c>
      <c r="I84" s="46"/>
      <c r="J84" s="5">
        <v>43</v>
      </c>
      <c r="K84" s="38">
        <f t="shared" ref="K84:K89" si="3">J84*F84/1000</f>
        <v>1.72</v>
      </c>
      <c r="L84" s="44"/>
      <c r="M84" s="44"/>
    </row>
    <row r="85" spans="1:13" ht="15.75">
      <c r="A85" s="115"/>
      <c r="B85" s="157"/>
      <c r="C85" s="115"/>
      <c r="D85" s="54"/>
      <c r="E85" s="48" t="s">
        <v>26</v>
      </c>
      <c r="F85" s="46">
        <v>140</v>
      </c>
      <c r="G85" s="46"/>
      <c r="H85" s="46">
        <f t="shared" si="2"/>
        <v>140</v>
      </c>
      <c r="I85" s="46"/>
      <c r="J85" s="5">
        <v>69</v>
      </c>
      <c r="K85" s="38">
        <f t="shared" si="3"/>
        <v>9.66</v>
      </c>
      <c r="L85" s="44"/>
      <c r="M85" s="44"/>
    </row>
    <row r="86" spans="1:13" ht="15.75">
      <c r="A86" s="54"/>
      <c r="B86" s="157"/>
      <c r="C86" s="115"/>
      <c r="D86" s="54"/>
      <c r="E86" s="48" t="s">
        <v>27</v>
      </c>
      <c r="F86" s="46">
        <v>60</v>
      </c>
      <c r="G86" s="46"/>
      <c r="H86" s="46">
        <f t="shared" si="2"/>
        <v>60</v>
      </c>
      <c r="I86" s="46"/>
      <c r="K86" s="38">
        <f t="shared" si="3"/>
        <v>0</v>
      </c>
      <c r="L86" s="44"/>
      <c r="M86" s="44"/>
    </row>
    <row r="87" spans="1:13" ht="15.75">
      <c r="A87" s="54"/>
      <c r="B87" s="157"/>
      <c r="C87" s="115"/>
      <c r="D87" s="54"/>
      <c r="E87" s="48" t="s">
        <v>20</v>
      </c>
      <c r="F87" s="46">
        <v>5</v>
      </c>
      <c r="G87" s="46"/>
      <c r="H87" s="46">
        <f t="shared" si="2"/>
        <v>5</v>
      </c>
      <c r="I87" s="46"/>
      <c r="J87" s="5">
        <v>990</v>
      </c>
      <c r="K87" s="38">
        <f t="shared" si="3"/>
        <v>4.95</v>
      </c>
      <c r="L87" s="44"/>
      <c r="M87" s="44"/>
    </row>
    <row r="88" spans="1:13" ht="15.75">
      <c r="A88" s="54"/>
      <c r="B88" s="157"/>
      <c r="C88" s="115"/>
      <c r="D88" s="54"/>
      <c r="E88" s="48" t="s">
        <v>94</v>
      </c>
      <c r="F88" s="46">
        <v>0.3</v>
      </c>
      <c r="G88" s="46"/>
      <c r="H88" s="46">
        <f t="shared" si="2"/>
        <v>0.3</v>
      </c>
      <c r="I88" s="46"/>
      <c r="J88" s="5">
        <v>20</v>
      </c>
      <c r="K88" s="38">
        <f t="shared" si="3"/>
        <v>6.0000000000000001E-3</v>
      </c>
      <c r="L88" s="44"/>
      <c r="M88" s="44"/>
    </row>
    <row r="89" spans="1:13" ht="15.75">
      <c r="A89" s="115"/>
      <c r="B89" s="157"/>
      <c r="C89" s="115"/>
      <c r="D89" s="54"/>
      <c r="E89" s="48" t="s">
        <v>103</v>
      </c>
      <c r="F89" s="46">
        <v>4</v>
      </c>
      <c r="G89" s="46"/>
      <c r="H89" s="46">
        <f t="shared" si="2"/>
        <v>4</v>
      </c>
      <c r="I89" s="46"/>
      <c r="J89" s="5">
        <v>80</v>
      </c>
      <c r="K89" s="38">
        <f t="shared" si="3"/>
        <v>0.32</v>
      </c>
      <c r="L89" s="44"/>
      <c r="M89" s="44"/>
    </row>
    <row r="90" spans="1:13" ht="15.75">
      <c r="A90" s="54"/>
      <c r="B90" s="157"/>
      <c r="C90" s="115"/>
      <c r="D90" s="54"/>
      <c r="E90" s="48"/>
      <c r="F90" s="46"/>
      <c r="G90" s="46"/>
      <c r="H90" s="46"/>
      <c r="I90" s="46"/>
      <c r="L90" s="44"/>
      <c r="M90" s="44"/>
    </row>
    <row r="91" spans="1:13" ht="15.75">
      <c r="A91" s="54"/>
      <c r="B91" s="157"/>
      <c r="C91" s="115"/>
      <c r="D91" s="54"/>
      <c r="E91" s="45" t="s">
        <v>74</v>
      </c>
      <c r="F91" s="10" t="s">
        <v>30</v>
      </c>
      <c r="G91" s="10"/>
      <c r="H91" s="122">
        <v>200</v>
      </c>
      <c r="I91" s="122"/>
      <c r="L91" s="44"/>
      <c r="M91" s="44"/>
    </row>
    <row r="92" spans="1:13" ht="15.75">
      <c r="A92" s="54"/>
      <c r="B92" s="157"/>
      <c r="C92" s="115"/>
      <c r="D92" s="54"/>
      <c r="E92" s="54"/>
      <c r="F92" s="54"/>
      <c r="G92" s="54"/>
      <c r="H92" s="54"/>
      <c r="I92" s="54"/>
      <c r="L92" s="44"/>
      <c r="M92" s="44"/>
    </row>
    <row r="93" spans="1:13" ht="15.75">
      <c r="A93" s="54"/>
      <c r="B93" s="157"/>
      <c r="C93" s="115" t="s">
        <v>170</v>
      </c>
      <c r="D93" s="54">
        <v>200</v>
      </c>
      <c r="E93" s="485" t="s">
        <v>15</v>
      </c>
      <c r="F93" s="123" t="s">
        <v>16</v>
      </c>
      <c r="G93" s="123"/>
      <c r="H93" s="123"/>
      <c r="I93" s="123"/>
      <c r="K93" s="116">
        <f>K96+K97+K98+K99</f>
        <v>10.220000000000001</v>
      </c>
      <c r="L93" s="44"/>
      <c r="M93" s="44"/>
    </row>
    <row r="94" spans="1:13" ht="15.75">
      <c r="A94" s="54"/>
      <c r="B94" s="157"/>
      <c r="C94" s="115"/>
      <c r="D94" s="54"/>
      <c r="E94" s="485"/>
      <c r="F94" s="486">
        <v>1</v>
      </c>
      <c r="G94" s="486"/>
      <c r="H94" s="486"/>
      <c r="I94" s="486"/>
      <c r="L94" s="44"/>
      <c r="M94" s="44"/>
    </row>
    <row r="95" spans="1:13" ht="15.75">
      <c r="A95" s="54"/>
      <c r="B95" s="157"/>
      <c r="C95" s="115"/>
      <c r="D95" s="54"/>
      <c r="E95" s="485"/>
      <c r="F95" s="487" t="s">
        <v>181</v>
      </c>
      <c r="G95" s="487"/>
      <c r="H95" s="487" t="s">
        <v>182</v>
      </c>
      <c r="I95" s="487"/>
      <c r="L95" s="44"/>
      <c r="M95" s="44"/>
    </row>
    <row r="96" spans="1:13" s="12" customFormat="1" ht="15.75">
      <c r="A96" s="54"/>
      <c r="B96" s="157"/>
      <c r="C96" s="115"/>
      <c r="D96" s="54"/>
      <c r="E96" s="124" t="s">
        <v>158</v>
      </c>
      <c r="F96" s="125">
        <v>4</v>
      </c>
      <c r="G96" s="125"/>
      <c r="H96" s="488">
        <f>F96</f>
        <v>4</v>
      </c>
      <c r="I96" s="488"/>
      <c r="J96" s="5">
        <v>430</v>
      </c>
      <c r="K96" s="38">
        <f>F96*J96/1000</f>
        <v>1.72</v>
      </c>
      <c r="L96" s="44"/>
      <c r="M96" s="44"/>
    </row>
    <row r="97" spans="1:13" ht="15.75">
      <c r="A97" s="115"/>
      <c r="B97" s="157"/>
      <c r="C97" s="115"/>
      <c r="D97" s="54"/>
      <c r="E97" s="126" t="s">
        <v>26</v>
      </c>
      <c r="F97" s="125">
        <v>100</v>
      </c>
      <c r="G97" s="125"/>
      <c r="H97" s="488">
        <f>F97</f>
        <v>100</v>
      </c>
      <c r="I97" s="488"/>
      <c r="J97" s="5">
        <v>69</v>
      </c>
      <c r="K97" s="38">
        <f>F97*J97/1000</f>
        <v>6.9</v>
      </c>
      <c r="L97" s="44"/>
      <c r="M97" s="44"/>
    </row>
    <row r="98" spans="1:13" ht="15.75">
      <c r="A98" s="115"/>
      <c r="B98" s="157"/>
      <c r="C98" s="115"/>
      <c r="D98" s="54"/>
      <c r="E98" s="126" t="s">
        <v>27</v>
      </c>
      <c r="F98" s="125">
        <v>110</v>
      </c>
      <c r="G98" s="125"/>
      <c r="H98" s="488">
        <f>F98</f>
        <v>110</v>
      </c>
      <c r="I98" s="488"/>
      <c r="K98" s="38">
        <f>F98*J98/1000</f>
        <v>0</v>
      </c>
      <c r="L98" s="44"/>
      <c r="M98" s="44"/>
    </row>
    <row r="99" spans="1:13" ht="15.75">
      <c r="A99" s="115"/>
      <c r="B99" s="157"/>
      <c r="C99" s="115"/>
      <c r="D99" s="54"/>
      <c r="E99" s="126" t="s">
        <v>169</v>
      </c>
      <c r="F99" s="125">
        <v>20</v>
      </c>
      <c r="G99" s="125"/>
      <c r="H99" s="488">
        <f>F99</f>
        <v>20</v>
      </c>
      <c r="I99" s="488"/>
      <c r="J99" s="5">
        <v>80</v>
      </c>
      <c r="K99" s="38">
        <f>F99*J99/1000</f>
        <v>1.6</v>
      </c>
      <c r="L99" s="44"/>
      <c r="M99" s="44"/>
    </row>
    <row r="100" spans="1:13" ht="15.75">
      <c r="A100" s="115"/>
      <c r="B100" s="157"/>
      <c r="C100" s="115"/>
      <c r="D100" s="54"/>
      <c r="E100" s="106" t="s">
        <v>74</v>
      </c>
      <c r="F100" s="476" t="s">
        <v>30</v>
      </c>
      <c r="G100" s="476"/>
      <c r="H100" s="477">
        <v>200</v>
      </c>
      <c r="I100" s="477"/>
      <c r="L100" s="44"/>
      <c r="M100" s="44"/>
    </row>
    <row r="101" spans="1:13" ht="15.75">
      <c r="A101" s="115"/>
      <c r="B101" s="157"/>
      <c r="C101" s="115"/>
      <c r="D101" s="54"/>
      <c r="E101" s="54"/>
      <c r="F101" s="54"/>
      <c r="G101" s="54"/>
      <c r="H101" s="54"/>
      <c r="I101" s="54"/>
      <c r="L101" s="44"/>
      <c r="M101" s="44"/>
    </row>
    <row r="102" spans="1:13" ht="15.75">
      <c r="A102" s="115"/>
      <c r="B102" s="157"/>
      <c r="C102" s="115" t="s">
        <v>69</v>
      </c>
      <c r="D102" s="54">
        <v>40</v>
      </c>
      <c r="E102" s="54"/>
      <c r="F102" s="54"/>
      <c r="G102" s="54"/>
      <c r="H102" s="54"/>
      <c r="I102" s="54"/>
      <c r="J102" s="5">
        <v>55.1</v>
      </c>
      <c r="K102" s="116">
        <f>J102*D102/1000</f>
        <v>2.2040000000000002</v>
      </c>
      <c r="L102" s="44"/>
      <c r="M102" s="44"/>
    </row>
    <row r="103" spans="1:13" ht="15.75">
      <c r="A103" s="115"/>
      <c r="B103" s="157"/>
      <c r="C103" s="115"/>
      <c r="D103" s="54"/>
      <c r="E103" s="54"/>
      <c r="F103" s="54"/>
      <c r="G103" s="54"/>
      <c r="H103" s="54"/>
      <c r="I103" s="54"/>
      <c r="L103" s="44"/>
      <c r="M103" s="44"/>
    </row>
    <row r="104" spans="1:13" ht="15.75">
      <c r="A104" s="189" t="s">
        <v>215</v>
      </c>
      <c r="B104" s="117" t="s">
        <v>189</v>
      </c>
      <c r="C104" s="189" t="s">
        <v>216</v>
      </c>
      <c r="D104" s="190">
        <v>150</v>
      </c>
      <c r="E104" s="190"/>
      <c r="F104" s="190"/>
      <c r="G104" s="190"/>
      <c r="H104" s="190"/>
      <c r="I104" s="190"/>
      <c r="J104" s="195">
        <v>190</v>
      </c>
      <c r="K104" s="116">
        <f>D104*J104/1000</f>
        <v>28.5</v>
      </c>
      <c r="L104" s="44"/>
      <c r="M104" s="44"/>
    </row>
    <row r="105" spans="1:13" ht="15.75">
      <c r="A105" s="115" t="s">
        <v>217</v>
      </c>
      <c r="B105" s="149">
        <f>K107+K104+K118+K124+K130</f>
        <v>89.827435999999992</v>
      </c>
      <c r="C105" s="115"/>
      <c r="D105" s="54"/>
      <c r="E105" s="54"/>
      <c r="F105" s="54"/>
      <c r="G105" s="54"/>
      <c r="H105" s="54"/>
      <c r="I105" s="54"/>
      <c r="L105" s="44"/>
      <c r="M105" s="44">
        <f>K104+K107+K118+K124+K130</f>
        <v>89.827435999999992</v>
      </c>
    </row>
    <row r="106" spans="1:13" ht="15.75">
      <c r="A106" s="115"/>
      <c r="B106" s="157">
        <f>D104+D107+D118+D124+D130</f>
        <v>540</v>
      </c>
      <c r="C106" s="115"/>
      <c r="D106" s="54"/>
      <c r="E106" s="54"/>
      <c r="F106" s="54"/>
      <c r="G106" s="54"/>
      <c r="H106" s="54"/>
      <c r="I106" s="54"/>
      <c r="L106" s="44"/>
      <c r="M106" s="44"/>
    </row>
    <row r="107" spans="1:13" ht="15.75">
      <c r="A107" s="54"/>
      <c r="B107" s="169"/>
      <c r="C107" s="115" t="s">
        <v>218</v>
      </c>
      <c r="D107" s="54"/>
      <c r="E107" s="54"/>
      <c r="F107" s="480" t="s">
        <v>181</v>
      </c>
      <c r="G107" s="480"/>
      <c r="H107" s="480" t="s">
        <v>182</v>
      </c>
      <c r="I107" s="480"/>
      <c r="K107" s="182">
        <f>SUM(K109:K115)</f>
        <v>50.414435999999995</v>
      </c>
      <c r="L107" s="108"/>
      <c r="M107" s="108"/>
    </row>
    <row r="108" spans="1:13" ht="15.75">
      <c r="A108" s="54"/>
      <c r="B108" s="169"/>
      <c r="C108" s="115"/>
      <c r="D108" s="54"/>
      <c r="E108" s="142"/>
      <c r="F108" s="481"/>
      <c r="G108" s="481"/>
      <c r="H108" s="46"/>
      <c r="I108" s="46"/>
      <c r="K108" s="38">
        <f t="shared" ref="K108:K115" si="4">J108/1000*F108</f>
        <v>0</v>
      </c>
      <c r="L108" s="111"/>
      <c r="M108" s="111"/>
    </row>
    <row r="109" spans="1:13" ht="15.75">
      <c r="A109" s="54"/>
      <c r="B109" s="169"/>
      <c r="C109" s="115"/>
      <c r="D109" s="54"/>
      <c r="E109" s="143" t="s">
        <v>219</v>
      </c>
      <c r="F109" s="479">
        <v>127.8</v>
      </c>
      <c r="G109" s="479"/>
      <c r="H109" s="479">
        <v>91.8</v>
      </c>
      <c r="I109" s="479"/>
      <c r="J109" s="5">
        <v>365</v>
      </c>
      <c r="K109" s="38">
        <f t="shared" si="4"/>
        <v>46.646999999999998</v>
      </c>
      <c r="L109" s="111"/>
      <c r="M109" s="111"/>
    </row>
    <row r="110" spans="1:13" s="12" customFormat="1" ht="15.75">
      <c r="A110" s="54"/>
      <c r="B110" s="169"/>
      <c r="C110" s="115"/>
      <c r="D110" s="54"/>
      <c r="E110" s="143" t="s">
        <v>81</v>
      </c>
      <c r="F110" s="479">
        <v>10.8</v>
      </c>
      <c r="G110" s="479"/>
      <c r="H110" s="479">
        <v>10.8</v>
      </c>
      <c r="I110" s="479"/>
      <c r="J110" s="5">
        <v>177.17</v>
      </c>
      <c r="K110" s="38">
        <f t="shared" si="4"/>
        <v>1.9134360000000001</v>
      </c>
      <c r="L110" s="111"/>
      <c r="M110" s="111"/>
    </row>
    <row r="111" spans="1:13" ht="15.75">
      <c r="A111" s="54"/>
      <c r="B111" s="169"/>
      <c r="C111" s="115"/>
      <c r="D111" s="54"/>
      <c r="E111" s="143" t="s">
        <v>171</v>
      </c>
      <c r="F111" s="479">
        <v>16.2</v>
      </c>
      <c r="G111" s="479"/>
      <c r="H111" s="479">
        <v>16.2</v>
      </c>
      <c r="I111" s="479"/>
      <c r="J111" s="5">
        <v>27</v>
      </c>
      <c r="K111" s="38">
        <f t="shared" si="4"/>
        <v>0.43739999999999996</v>
      </c>
      <c r="L111" s="111"/>
      <c r="M111" s="111"/>
    </row>
    <row r="112" spans="1:13" ht="15.75">
      <c r="A112" s="54"/>
      <c r="B112" s="169"/>
      <c r="C112" s="115"/>
      <c r="D112" s="54"/>
      <c r="E112" s="143" t="s">
        <v>111</v>
      </c>
      <c r="F112" s="479">
        <v>5.4</v>
      </c>
      <c r="G112" s="479"/>
      <c r="H112" s="479">
        <v>5.4</v>
      </c>
      <c r="I112" s="479"/>
      <c r="J112" s="5">
        <v>39</v>
      </c>
      <c r="K112" s="38">
        <f t="shared" si="4"/>
        <v>0.21060000000000001</v>
      </c>
      <c r="L112" s="111"/>
      <c r="M112" s="111"/>
    </row>
    <row r="113" spans="1:13" ht="15.75">
      <c r="A113" s="54"/>
      <c r="B113" s="169"/>
      <c r="C113" s="115"/>
      <c r="D113" s="54"/>
      <c r="E113" s="143" t="s">
        <v>220</v>
      </c>
      <c r="F113" s="479">
        <v>5.4</v>
      </c>
      <c r="G113" s="479"/>
      <c r="H113" s="479">
        <v>5.4</v>
      </c>
      <c r="I113" s="479"/>
      <c r="J113" s="5">
        <v>210</v>
      </c>
      <c r="K113" s="38">
        <f t="shared" si="4"/>
        <v>1.1340000000000001</v>
      </c>
      <c r="L113" s="111"/>
      <c r="M113" s="111"/>
    </row>
    <row r="114" spans="1:13" ht="15.75">
      <c r="A114" s="54"/>
      <c r="B114" s="169"/>
      <c r="C114" s="115"/>
      <c r="D114" s="54"/>
      <c r="E114" s="143" t="s">
        <v>221</v>
      </c>
      <c r="F114" s="479">
        <v>3.6</v>
      </c>
      <c r="G114" s="479"/>
      <c r="H114" s="479">
        <v>3.6</v>
      </c>
      <c r="I114" s="479"/>
      <c r="J114" s="5">
        <v>20</v>
      </c>
      <c r="K114" s="38">
        <f t="shared" si="4"/>
        <v>7.2000000000000008E-2</v>
      </c>
      <c r="L114" s="111"/>
      <c r="M114" s="111"/>
    </row>
    <row r="115" spans="1:13" ht="15.75">
      <c r="A115" s="54"/>
      <c r="B115" s="169"/>
      <c r="C115" s="115"/>
      <c r="D115" s="54"/>
      <c r="E115" s="143" t="s">
        <v>21</v>
      </c>
      <c r="F115" s="481">
        <v>90</v>
      </c>
      <c r="G115" s="481"/>
      <c r="H115" s="481"/>
      <c r="I115" s="481"/>
      <c r="K115" s="38">
        <f t="shared" si="4"/>
        <v>0</v>
      </c>
      <c r="L115" s="111"/>
      <c r="M115" s="111"/>
    </row>
    <row r="116" spans="1:13" ht="15.75">
      <c r="A116" s="54"/>
      <c r="B116" s="169"/>
      <c r="C116" s="115"/>
      <c r="D116" s="54"/>
      <c r="E116" s="45"/>
      <c r="F116" s="10"/>
      <c r="G116" s="10"/>
      <c r="H116" s="482"/>
      <c r="I116" s="482"/>
      <c r="L116" s="44"/>
      <c r="M116" s="44"/>
    </row>
    <row r="117" spans="1:13" ht="15.75">
      <c r="A117" s="115"/>
      <c r="B117" s="157"/>
      <c r="C117" s="115"/>
      <c r="D117" s="54"/>
      <c r="E117" s="54"/>
      <c r="F117" s="54"/>
      <c r="G117" s="54"/>
      <c r="H117" s="54"/>
      <c r="I117" s="54"/>
      <c r="L117" s="44"/>
      <c r="M117" s="44"/>
    </row>
    <row r="118" spans="1:13" ht="15.75">
      <c r="A118" s="54"/>
      <c r="B118" s="169"/>
      <c r="C118" s="115" t="s">
        <v>222</v>
      </c>
      <c r="D118" s="54">
        <v>150</v>
      </c>
      <c r="E118" s="54"/>
      <c r="F118" s="480" t="s">
        <v>181</v>
      </c>
      <c r="G118" s="480"/>
      <c r="H118" s="480" t="s">
        <v>182</v>
      </c>
      <c r="I118" s="480"/>
      <c r="K118" s="181">
        <f>SUM(K119:K121)</f>
        <v>6.0440000000000005</v>
      </c>
      <c r="L118" s="44"/>
      <c r="M118" s="44"/>
    </row>
    <row r="119" spans="1:13" ht="15.75">
      <c r="A119" s="54"/>
      <c r="B119" s="169"/>
      <c r="C119" s="115"/>
      <c r="D119" s="54"/>
      <c r="E119" s="120" t="s">
        <v>105</v>
      </c>
      <c r="F119" s="46">
        <v>52</v>
      </c>
      <c r="G119" s="46"/>
      <c r="H119" s="481">
        <v>52</v>
      </c>
      <c r="I119" s="481"/>
      <c r="J119" s="5">
        <v>59</v>
      </c>
      <c r="K119" s="38">
        <f>F119*J119/1000</f>
        <v>3.0680000000000001</v>
      </c>
      <c r="L119" s="44"/>
      <c r="M119" s="44"/>
    </row>
    <row r="120" spans="1:13" ht="15.75">
      <c r="A120" s="54"/>
      <c r="B120" s="169"/>
      <c r="C120" s="115"/>
      <c r="D120" s="54"/>
      <c r="E120" s="120" t="s">
        <v>94</v>
      </c>
      <c r="F120" s="46">
        <v>0.3</v>
      </c>
      <c r="G120" s="46"/>
      <c r="H120" s="481">
        <v>0.3</v>
      </c>
      <c r="I120" s="481"/>
      <c r="J120" s="5">
        <v>20</v>
      </c>
      <c r="K120" s="38">
        <f>F120*J120/1000</f>
        <v>6.0000000000000001E-3</v>
      </c>
      <c r="L120" s="44"/>
      <c r="M120" s="44"/>
    </row>
    <row r="121" spans="1:13" ht="15.75">
      <c r="A121" s="54"/>
      <c r="B121" s="169"/>
      <c r="C121" s="115"/>
      <c r="D121" s="54"/>
      <c r="E121" s="120" t="s">
        <v>20</v>
      </c>
      <c r="F121" s="46">
        <v>3</v>
      </c>
      <c r="G121" s="46"/>
      <c r="H121" s="481">
        <v>3</v>
      </c>
      <c r="I121" s="481"/>
      <c r="J121" s="5">
        <v>990</v>
      </c>
      <c r="K121" s="38">
        <f>F121*J121/1000</f>
        <v>2.97</v>
      </c>
      <c r="L121" s="44"/>
      <c r="M121" s="44"/>
    </row>
    <row r="122" spans="1:13" ht="15.75">
      <c r="A122" s="115"/>
      <c r="B122" s="157"/>
      <c r="C122" s="115"/>
      <c r="D122" s="54"/>
      <c r="E122" s="45" t="s">
        <v>74</v>
      </c>
      <c r="F122" s="10" t="s">
        <v>30</v>
      </c>
      <c r="G122" s="10"/>
      <c r="H122" s="482">
        <v>150</v>
      </c>
      <c r="I122" s="482"/>
      <c r="L122" s="44"/>
      <c r="M122" s="44"/>
    </row>
    <row r="123" spans="1:13" ht="15.75">
      <c r="A123" s="115"/>
      <c r="B123" s="157"/>
      <c r="C123" s="115"/>
      <c r="D123" s="54"/>
      <c r="E123" s="54"/>
      <c r="F123" s="54"/>
      <c r="G123" s="54"/>
      <c r="H123" s="54"/>
      <c r="I123" s="54"/>
      <c r="L123" s="44"/>
      <c r="M123" s="44"/>
    </row>
    <row r="124" spans="1:13" ht="15.75">
      <c r="A124" s="115"/>
      <c r="B124" s="157"/>
      <c r="C124" s="115" t="s">
        <v>5</v>
      </c>
      <c r="D124" s="54">
        <v>200</v>
      </c>
      <c r="E124" s="54"/>
      <c r="F124" s="480" t="s">
        <v>181</v>
      </c>
      <c r="G124" s="480"/>
      <c r="H124" s="480" t="s">
        <v>182</v>
      </c>
      <c r="I124" s="480"/>
      <c r="K124" s="181">
        <f>SUM(K125:K127)</f>
        <v>2.665</v>
      </c>
      <c r="L124" s="44"/>
      <c r="M124" s="44"/>
    </row>
    <row r="125" spans="1:13" ht="15.75">
      <c r="A125" s="115"/>
      <c r="B125" s="157"/>
      <c r="C125" s="115"/>
      <c r="D125" s="54"/>
      <c r="E125" s="120" t="s">
        <v>157</v>
      </c>
      <c r="F125" s="46">
        <v>0.6</v>
      </c>
      <c r="G125" s="46"/>
      <c r="H125" s="481">
        <v>0.6</v>
      </c>
      <c r="I125" s="481"/>
      <c r="J125" s="5">
        <v>650</v>
      </c>
      <c r="K125" s="38">
        <f>F125*J125/1000</f>
        <v>0.39</v>
      </c>
      <c r="L125" s="44"/>
      <c r="M125" s="44"/>
    </row>
    <row r="126" spans="1:13" ht="15.75">
      <c r="A126" s="115"/>
      <c r="B126" s="157"/>
      <c r="C126" s="115"/>
      <c r="D126" s="54"/>
      <c r="E126" s="48" t="s">
        <v>103</v>
      </c>
      <c r="F126" s="46">
        <v>15</v>
      </c>
      <c r="G126" s="46"/>
      <c r="H126" s="481">
        <v>15</v>
      </c>
      <c r="I126" s="481"/>
      <c r="J126" s="5">
        <v>80</v>
      </c>
      <c r="K126" s="38">
        <f>F126*J126/1000</f>
        <v>1.2</v>
      </c>
      <c r="L126" s="44"/>
      <c r="M126" s="44"/>
    </row>
    <row r="127" spans="1:13" ht="15.75">
      <c r="A127" s="115"/>
      <c r="B127" s="157"/>
      <c r="C127" s="115"/>
      <c r="D127" s="54"/>
      <c r="E127" s="48" t="s">
        <v>172</v>
      </c>
      <c r="F127" s="46">
        <v>5</v>
      </c>
      <c r="G127" s="46"/>
      <c r="H127" s="494">
        <v>4</v>
      </c>
      <c r="I127" s="495"/>
      <c r="J127" s="5">
        <v>215</v>
      </c>
      <c r="K127" s="38">
        <f>F127*J127/1000</f>
        <v>1.075</v>
      </c>
      <c r="L127" s="44"/>
      <c r="M127" s="44"/>
    </row>
    <row r="128" spans="1:13" ht="15.75">
      <c r="A128" s="115"/>
      <c r="B128" s="157"/>
      <c r="C128" s="115"/>
      <c r="D128" s="54"/>
      <c r="E128" s="45" t="s">
        <v>74</v>
      </c>
      <c r="F128" s="478" t="s">
        <v>30</v>
      </c>
      <c r="G128" s="478"/>
      <c r="H128" s="478" t="s">
        <v>223</v>
      </c>
      <c r="I128" s="478"/>
      <c r="L128" s="44"/>
      <c r="M128" s="44"/>
    </row>
    <row r="129" spans="1:13" ht="15.75">
      <c r="A129" s="115"/>
      <c r="B129" s="157"/>
      <c r="C129" s="115"/>
      <c r="D129" s="54"/>
      <c r="E129" s="54"/>
      <c r="F129" s="54"/>
      <c r="G129" s="54"/>
      <c r="H129" s="54"/>
      <c r="I129" s="54"/>
      <c r="L129" s="44"/>
      <c r="M129" s="44"/>
    </row>
    <row r="130" spans="1:13" s="12" customFormat="1" ht="15.75">
      <c r="A130" s="115"/>
      <c r="B130" s="157"/>
      <c r="C130" s="115" t="s">
        <v>69</v>
      </c>
      <c r="D130" s="54">
        <v>40</v>
      </c>
      <c r="E130" s="54"/>
      <c r="F130" s="54"/>
      <c r="G130" s="54"/>
      <c r="H130" s="54"/>
      <c r="I130" s="54"/>
      <c r="J130" s="5">
        <v>55.1</v>
      </c>
      <c r="K130" s="181">
        <f>J130*D130/1000</f>
        <v>2.2040000000000002</v>
      </c>
      <c r="L130" s="44"/>
      <c r="M130" s="44"/>
    </row>
    <row r="131" spans="1:13" ht="16.5" thickBot="1">
      <c r="A131" s="115"/>
      <c r="B131" s="157"/>
      <c r="C131" s="115"/>
      <c r="D131" s="54"/>
      <c r="E131" s="54"/>
      <c r="F131" s="54"/>
      <c r="G131" s="54"/>
      <c r="H131" s="54"/>
      <c r="I131" s="54"/>
      <c r="L131" s="107"/>
      <c r="M131" s="107"/>
    </row>
    <row r="132" spans="1:13" ht="15.75">
      <c r="A132" s="189" t="s">
        <v>224</v>
      </c>
      <c r="B132" s="117" t="s">
        <v>189</v>
      </c>
      <c r="C132" s="192"/>
      <c r="D132" s="193"/>
      <c r="E132" s="193"/>
      <c r="F132" s="490"/>
      <c r="G132" s="490"/>
      <c r="H132" s="490"/>
      <c r="I132" s="490"/>
      <c r="J132" s="191"/>
      <c r="K132" s="194"/>
      <c r="L132" s="44"/>
      <c r="M132" s="44"/>
    </row>
    <row r="133" spans="1:13" ht="15.75">
      <c r="A133" s="115" t="s">
        <v>225</v>
      </c>
      <c r="B133" s="171">
        <f>K133+K137+K146+K148+K150</f>
        <v>47.769999999999996</v>
      </c>
      <c r="C133" s="129" t="s">
        <v>197</v>
      </c>
      <c r="D133" s="130">
        <v>40</v>
      </c>
      <c r="E133" s="130"/>
      <c r="F133" s="130">
        <v>42</v>
      </c>
      <c r="G133" s="130"/>
      <c r="H133" s="130"/>
      <c r="I133" s="130"/>
      <c r="J133" s="131"/>
      <c r="K133" s="178">
        <f>J133*F133/1000</f>
        <v>0</v>
      </c>
      <c r="L133" s="44"/>
      <c r="M133" s="44">
        <f>K137+K146+K148+K150</f>
        <v>47.769999999999996</v>
      </c>
    </row>
    <row r="134" spans="1:13" ht="15.75">
      <c r="A134" s="115"/>
      <c r="B134" s="157">
        <f>D133+D137+D148+D146+D150</f>
        <v>630</v>
      </c>
      <c r="C134" s="144"/>
      <c r="D134" s="139"/>
      <c r="E134" s="112"/>
      <c r="F134" s="491"/>
      <c r="G134" s="491"/>
      <c r="H134" s="492"/>
      <c r="I134" s="492"/>
      <c r="J134" s="145"/>
      <c r="K134" s="183"/>
      <c r="L134" s="44"/>
      <c r="M134" s="44"/>
    </row>
    <row r="135" spans="1:13" ht="15.75">
      <c r="A135" s="115"/>
      <c r="B135" s="157"/>
      <c r="C135" s="115"/>
      <c r="D135" s="54"/>
      <c r="E135" s="54"/>
      <c r="F135" s="493"/>
      <c r="G135" s="493"/>
      <c r="H135" s="493"/>
      <c r="I135" s="493"/>
      <c r="L135" s="44"/>
      <c r="M135" s="44"/>
    </row>
    <row r="136" spans="1:13" ht="15.75">
      <c r="A136" s="115"/>
      <c r="B136" s="157"/>
      <c r="C136" s="115"/>
      <c r="D136" s="54"/>
      <c r="E136" s="54"/>
      <c r="F136" s="54"/>
      <c r="G136" s="54"/>
      <c r="H136" s="54"/>
      <c r="I136" s="54"/>
      <c r="L136" s="44"/>
      <c r="M136" s="44"/>
    </row>
    <row r="137" spans="1:13" ht="15.75">
      <c r="A137" s="54"/>
      <c r="B137" s="169"/>
      <c r="C137" s="115" t="s">
        <v>73</v>
      </c>
      <c r="D137" s="54">
        <v>200</v>
      </c>
      <c r="E137" s="54"/>
      <c r="F137" s="480" t="s">
        <v>181</v>
      </c>
      <c r="G137" s="480"/>
      <c r="H137" s="480" t="s">
        <v>182</v>
      </c>
      <c r="I137" s="480"/>
      <c r="K137" s="184">
        <f>SUM(K138:K143)</f>
        <v>33.06</v>
      </c>
      <c r="L137" s="44"/>
      <c r="M137" s="44"/>
    </row>
    <row r="138" spans="1:13" ht="15.75">
      <c r="A138" s="54"/>
      <c r="B138" s="169"/>
      <c r="C138" s="115"/>
      <c r="D138" s="54"/>
      <c r="E138" s="120" t="s">
        <v>183</v>
      </c>
      <c r="F138" s="46">
        <v>100</v>
      </c>
      <c r="G138" s="46"/>
      <c r="H138" s="481">
        <f>F138</f>
        <v>100</v>
      </c>
      <c r="I138" s="481"/>
      <c r="J138" s="5">
        <v>216</v>
      </c>
      <c r="K138" s="38">
        <f t="shared" ref="K138:K143" si="5">F138*J138/1000</f>
        <v>21.6</v>
      </c>
      <c r="L138" s="44"/>
      <c r="M138" s="44"/>
    </row>
    <row r="139" spans="1:13" ht="15.75">
      <c r="A139" s="54"/>
      <c r="B139" s="169"/>
      <c r="C139" s="115"/>
      <c r="D139" s="54"/>
      <c r="E139" s="48" t="s">
        <v>26</v>
      </c>
      <c r="F139" s="46">
        <v>80</v>
      </c>
      <c r="G139" s="46"/>
      <c r="H139" s="481">
        <f>F139</f>
        <v>80</v>
      </c>
      <c r="I139" s="481"/>
      <c r="J139" s="5">
        <v>69</v>
      </c>
      <c r="K139" s="38">
        <f t="shared" si="5"/>
        <v>5.52</v>
      </c>
      <c r="L139" s="44"/>
      <c r="M139" s="44"/>
    </row>
    <row r="140" spans="1:13" ht="15.75">
      <c r="A140" s="54"/>
      <c r="B140" s="169"/>
      <c r="C140" s="115"/>
      <c r="D140" s="54"/>
      <c r="E140" s="48" t="s">
        <v>20</v>
      </c>
      <c r="F140" s="46">
        <v>3</v>
      </c>
      <c r="G140" s="46"/>
      <c r="H140" s="481">
        <f>F140</f>
        <v>3</v>
      </c>
      <c r="I140" s="481"/>
      <c r="J140" s="5">
        <v>990</v>
      </c>
      <c r="K140" s="38">
        <f t="shared" si="5"/>
        <v>2.97</v>
      </c>
      <c r="L140" s="44"/>
      <c r="M140" s="44"/>
    </row>
    <row r="141" spans="1:13" ht="15.75">
      <c r="A141" s="54"/>
      <c r="B141" s="169"/>
      <c r="C141" s="115"/>
      <c r="D141" s="54"/>
      <c r="E141" s="48" t="s">
        <v>90</v>
      </c>
      <c r="F141" s="46">
        <v>45</v>
      </c>
      <c r="G141" s="46"/>
      <c r="H141" s="481">
        <f>F141</f>
        <v>45</v>
      </c>
      <c r="I141" s="481"/>
      <c r="K141" s="38">
        <f t="shared" si="5"/>
        <v>0</v>
      </c>
      <c r="L141" s="44"/>
      <c r="M141" s="44"/>
    </row>
    <row r="142" spans="1:13" ht="15.75">
      <c r="A142" s="54"/>
      <c r="B142" s="169"/>
      <c r="C142" s="115"/>
      <c r="D142" s="54"/>
      <c r="E142" s="48" t="s">
        <v>20</v>
      </c>
      <c r="F142" s="15">
        <v>3</v>
      </c>
      <c r="G142" s="15"/>
      <c r="H142" s="481">
        <f>F142</f>
        <v>3</v>
      </c>
      <c r="I142" s="481"/>
      <c r="J142" s="5">
        <v>990</v>
      </c>
      <c r="K142" s="38">
        <f t="shared" si="5"/>
        <v>2.97</v>
      </c>
      <c r="L142" s="44"/>
      <c r="M142" s="44"/>
    </row>
    <row r="143" spans="1:13" ht="15.75">
      <c r="A143" s="54"/>
      <c r="B143" s="169"/>
      <c r="C143" s="115"/>
      <c r="D143" s="54"/>
      <c r="E143" s="120"/>
      <c r="F143" s="481"/>
      <c r="G143" s="481"/>
      <c r="H143" s="481"/>
      <c r="I143" s="481"/>
      <c r="K143" s="38">
        <f t="shared" si="5"/>
        <v>0</v>
      </c>
      <c r="L143" s="44"/>
      <c r="M143" s="44"/>
    </row>
    <row r="144" spans="1:13" ht="15.75">
      <c r="A144" s="54"/>
      <c r="B144" s="169"/>
      <c r="C144" s="115"/>
      <c r="D144" s="54"/>
      <c r="E144" s="45" t="s">
        <v>74</v>
      </c>
      <c r="F144" s="478" t="s">
        <v>30</v>
      </c>
      <c r="G144" s="478"/>
      <c r="H144" s="482">
        <v>200</v>
      </c>
      <c r="I144" s="482"/>
      <c r="L144" s="44"/>
      <c r="M144" s="44"/>
    </row>
    <row r="145" spans="1:13" ht="15.75">
      <c r="A145" s="54"/>
      <c r="B145" s="169"/>
      <c r="C145" s="115"/>
      <c r="D145" s="54"/>
      <c r="E145" s="54"/>
      <c r="F145" s="480" t="s">
        <v>181</v>
      </c>
      <c r="G145" s="480"/>
      <c r="H145" s="480" t="s">
        <v>182</v>
      </c>
      <c r="I145" s="480"/>
      <c r="L145" s="44"/>
      <c r="M145" s="44"/>
    </row>
    <row r="146" spans="1:13" ht="15.75">
      <c r="A146" s="54"/>
      <c r="B146" s="169"/>
      <c r="C146" s="115" t="s">
        <v>226</v>
      </c>
      <c r="D146" s="54">
        <v>150</v>
      </c>
      <c r="E146" s="120" t="s">
        <v>184</v>
      </c>
      <c r="F146" s="46">
        <v>150</v>
      </c>
      <c r="G146" s="46"/>
      <c r="H146" s="481">
        <v>150</v>
      </c>
      <c r="I146" s="481"/>
      <c r="J146" s="5">
        <v>70</v>
      </c>
      <c r="K146" s="184">
        <f>F146*J146/1000</f>
        <v>10.5</v>
      </c>
      <c r="L146" s="44"/>
      <c r="M146" s="44"/>
    </row>
    <row r="147" spans="1:13" ht="15.75">
      <c r="A147" s="115"/>
      <c r="B147" s="157"/>
      <c r="C147" s="115"/>
      <c r="D147" s="54"/>
      <c r="E147" s="54"/>
      <c r="F147" s="54"/>
      <c r="G147" s="54"/>
      <c r="H147" s="54"/>
      <c r="I147" s="54"/>
      <c r="L147" s="44"/>
      <c r="M147" s="44"/>
    </row>
    <row r="148" spans="1:13" ht="15.75">
      <c r="A148" s="54"/>
      <c r="B148" s="169"/>
      <c r="C148" s="115" t="s">
        <v>214</v>
      </c>
      <c r="D148" s="54">
        <v>40</v>
      </c>
      <c r="E148" s="54"/>
      <c r="F148" s="54"/>
      <c r="G148" s="54"/>
      <c r="H148" s="54"/>
      <c r="I148" s="54"/>
      <c r="J148" s="5">
        <v>65.5</v>
      </c>
      <c r="K148" s="184">
        <f>D148*J148/1000</f>
        <v>2.62</v>
      </c>
      <c r="L148" s="44"/>
      <c r="M148" s="44"/>
    </row>
    <row r="149" spans="1:13" ht="15.75">
      <c r="A149" s="115"/>
      <c r="B149" s="157"/>
      <c r="C149" s="115"/>
      <c r="D149" s="54"/>
      <c r="E149" s="54"/>
      <c r="F149" s="54"/>
      <c r="G149" s="54"/>
      <c r="H149" s="54"/>
      <c r="I149" s="54"/>
      <c r="L149" s="44"/>
      <c r="M149" s="44"/>
    </row>
    <row r="150" spans="1:13" ht="15.75">
      <c r="A150" s="54"/>
      <c r="B150" s="169"/>
      <c r="C150" s="115" t="s">
        <v>68</v>
      </c>
      <c r="D150" s="54">
        <v>200</v>
      </c>
      <c r="E150" s="54"/>
      <c r="F150" s="480" t="s">
        <v>181</v>
      </c>
      <c r="G150" s="480"/>
      <c r="H150" s="480" t="s">
        <v>182</v>
      </c>
      <c r="I150" s="480"/>
      <c r="K150" s="184">
        <f>K151+K152</f>
        <v>1.5899999999999999</v>
      </c>
      <c r="L150" s="44"/>
      <c r="M150" s="44"/>
    </row>
    <row r="151" spans="1:13" s="12" customFormat="1" ht="15.75">
      <c r="A151" s="115"/>
      <c r="B151" s="157"/>
      <c r="C151" s="115"/>
      <c r="D151" s="54"/>
      <c r="E151" s="120" t="s">
        <v>157</v>
      </c>
      <c r="F151" s="46">
        <v>0.6</v>
      </c>
      <c r="G151" s="46"/>
      <c r="H151" s="481">
        <v>0.6</v>
      </c>
      <c r="I151" s="481"/>
      <c r="J151" s="5">
        <v>650</v>
      </c>
      <c r="K151" s="38">
        <f>J151*F151/1000</f>
        <v>0.39</v>
      </c>
      <c r="L151" s="44"/>
      <c r="M151" s="44"/>
    </row>
    <row r="152" spans="1:13" ht="15.75">
      <c r="A152" s="115"/>
      <c r="B152" s="157"/>
      <c r="C152" s="115"/>
      <c r="D152" s="54"/>
      <c r="E152" s="48" t="s">
        <v>103</v>
      </c>
      <c r="F152" s="46">
        <v>15</v>
      </c>
      <c r="G152" s="46"/>
      <c r="H152" s="481">
        <v>15</v>
      </c>
      <c r="I152" s="481"/>
      <c r="J152" s="5">
        <v>80</v>
      </c>
      <c r="K152" s="38">
        <f>J152*F152/1000</f>
        <v>1.2</v>
      </c>
      <c r="L152" s="44"/>
      <c r="M152" s="44"/>
    </row>
    <row r="153" spans="1:13" ht="15.75">
      <c r="A153" s="115"/>
      <c r="B153" s="157"/>
      <c r="C153" s="115"/>
      <c r="D153" s="54"/>
      <c r="E153" s="45" t="s">
        <v>74</v>
      </c>
      <c r="F153" s="478" t="s">
        <v>30</v>
      </c>
      <c r="G153" s="478"/>
      <c r="H153" s="482">
        <v>200</v>
      </c>
      <c r="I153" s="482"/>
      <c r="L153" s="44"/>
      <c r="M153" s="44"/>
    </row>
    <row r="154" spans="1:13" ht="15.75">
      <c r="A154" s="115"/>
      <c r="B154" s="157"/>
      <c r="C154" s="115"/>
      <c r="D154" s="54"/>
      <c r="E154" s="54"/>
      <c r="F154" s="54"/>
      <c r="G154" s="54"/>
      <c r="H154" s="54"/>
      <c r="I154" s="54"/>
      <c r="L154" s="44"/>
      <c r="M154" s="44"/>
    </row>
    <row r="155" spans="1:13" ht="15.75">
      <c r="A155" s="115"/>
      <c r="B155" s="157"/>
      <c r="C155" s="115"/>
      <c r="D155" s="54"/>
      <c r="E155" s="54"/>
      <c r="F155" s="54"/>
      <c r="G155" s="54"/>
      <c r="H155" s="54"/>
      <c r="I155" s="54"/>
      <c r="L155" s="44"/>
      <c r="M155" s="44"/>
    </row>
    <row r="156" spans="1:13" ht="15.75">
      <c r="A156" s="189" t="s">
        <v>227</v>
      </c>
      <c r="B156" s="117" t="s">
        <v>189</v>
      </c>
      <c r="C156" s="189"/>
      <c r="D156" s="190"/>
      <c r="E156" s="190"/>
      <c r="F156" s="190"/>
      <c r="G156" s="190"/>
      <c r="H156" s="190"/>
      <c r="I156" s="190"/>
      <c r="J156" s="11"/>
      <c r="K156" s="116"/>
      <c r="L156" s="44"/>
      <c r="M156" s="44"/>
    </row>
    <row r="157" spans="1:13" ht="15.75">
      <c r="A157" s="54" t="s">
        <v>191</v>
      </c>
      <c r="B157" s="172">
        <f>K157+K159+K161+K169+K176</f>
        <v>77.27</v>
      </c>
      <c r="C157" s="115" t="s">
        <v>228</v>
      </c>
      <c r="D157" s="54">
        <v>150</v>
      </c>
      <c r="E157" s="120" t="s">
        <v>229</v>
      </c>
      <c r="F157" s="46">
        <v>150</v>
      </c>
      <c r="G157" s="46"/>
      <c r="H157" s="481">
        <v>150</v>
      </c>
      <c r="I157" s="481"/>
      <c r="J157" s="5">
        <v>200</v>
      </c>
      <c r="K157" s="185">
        <f>F157*J157/1000</f>
        <v>30</v>
      </c>
      <c r="L157" s="44"/>
      <c r="M157" s="44">
        <f>K157+K159+K161+K169+K176</f>
        <v>77.27</v>
      </c>
    </row>
    <row r="158" spans="1:13" ht="15.75">
      <c r="A158" s="115"/>
      <c r="B158" s="157">
        <f>D157+D159+D161+D169+D176</f>
        <v>610</v>
      </c>
      <c r="C158" s="115"/>
      <c r="D158" s="54"/>
      <c r="E158" s="54"/>
      <c r="F158" s="54"/>
      <c r="G158" s="54"/>
      <c r="H158" s="54"/>
      <c r="I158" s="54"/>
      <c r="L158" s="44"/>
      <c r="M158" s="44"/>
    </row>
    <row r="159" spans="1:13" ht="15.75">
      <c r="A159" s="54"/>
      <c r="B159" s="157"/>
      <c r="C159" s="115" t="s">
        <v>230</v>
      </c>
      <c r="D159" s="54">
        <v>20</v>
      </c>
      <c r="E159" s="120" t="s">
        <v>231</v>
      </c>
      <c r="F159" s="46">
        <v>21</v>
      </c>
      <c r="G159" s="46"/>
      <c r="H159" s="481">
        <v>20</v>
      </c>
      <c r="I159" s="481"/>
      <c r="J159" s="5">
        <v>550</v>
      </c>
      <c r="K159" s="185">
        <f>F159*J159/1000</f>
        <v>11.55</v>
      </c>
      <c r="L159" s="44"/>
      <c r="M159" s="44"/>
    </row>
    <row r="160" spans="1:13" s="12" customFormat="1" ht="15.75">
      <c r="A160" s="115"/>
      <c r="B160" s="157"/>
      <c r="C160" s="115"/>
      <c r="D160" s="54"/>
      <c r="E160" s="54"/>
      <c r="F160" s="54"/>
      <c r="G160" s="54"/>
      <c r="H160" s="54"/>
      <c r="I160" s="54"/>
      <c r="J160" s="5"/>
      <c r="K160" s="38"/>
      <c r="L160" s="44"/>
      <c r="M160" s="44"/>
    </row>
    <row r="161" spans="1:13" ht="15.75">
      <c r="A161" s="54"/>
      <c r="B161" s="157"/>
      <c r="C161" s="115" t="s">
        <v>232</v>
      </c>
      <c r="D161" s="54">
        <v>200</v>
      </c>
      <c r="E161" s="54"/>
      <c r="F161" s="49" t="s">
        <v>181</v>
      </c>
      <c r="G161" s="49"/>
      <c r="H161" s="480" t="s">
        <v>182</v>
      </c>
      <c r="I161" s="480"/>
      <c r="K161" s="185">
        <f>SUM(K162:K166)</f>
        <v>23.240000000000002</v>
      </c>
      <c r="L161" s="44"/>
      <c r="M161" s="44"/>
    </row>
    <row r="162" spans="1:13" ht="15.75">
      <c r="A162" s="54"/>
      <c r="B162" s="157"/>
      <c r="C162" s="115"/>
      <c r="D162" s="54"/>
      <c r="E162" s="120" t="s">
        <v>113</v>
      </c>
      <c r="F162" s="46">
        <f>50*H167/200</f>
        <v>50</v>
      </c>
      <c r="G162" s="46"/>
      <c r="H162" s="481">
        <f>F162</f>
        <v>50</v>
      </c>
      <c r="I162" s="481"/>
      <c r="J162" s="5">
        <v>80</v>
      </c>
      <c r="K162" s="38">
        <f>F162*J162/1000</f>
        <v>4</v>
      </c>
      <c r="L162" s="44"/>
      <c r="M162" s="44"/>
    </row>
    <row r="163" spans="1:13" ht="15.75">
      <c r="A163" s="54"/>
      <c r="B163" s="157"/>
      <c r="C163" s="115"/>
      <c r="D163" s="54"/>
      <c r="E163" s="48" t="s">
        <v>26</v>
      </c>
      <c r="F163" s="46">
        <f>200*H167/200</f>
        <v>200</v>
      </c>
      <c r="G163" s="46"/>
      <c r="H163" s="481">
        <f>F163</f>
        <v>200</v>
      </c>
      <c r="I163" s="481"/>
      <c r="J163" s="5">
        <v>69</v>
      </c>
      <c r="K163" s="38">
        <f>F163*J163/1000</f>
        <v>13.8</v>
      </c>
      <c r="L163" s="44"/>
      <c r="M163" s="44"/>
    </row>
    <row r="164" spans="1:13" ht="15.75">
      <c r="A164" s="54"/>
      <c r="B164" s="157"/>
      <c r="C164" s="115"/>
      <c r="D164" s="54"/>
      <c r="E164" s="48" t="s">
        <v>103</v>
      </c>
      <c r="F164" s="46">
        <f>6*H167/200</f>
        <v>6</v>
      </c>
      <c r="G164" s="46"/>
      <c r="H164" s="481">
        <f>F164</f>
        <v>6</v>
      </c>
      <c r="I164" s="481"/>
      <c r="J164" s="5">
        <v>80</v>
      </c>
      <c r="K164" s="38">
        <f>F164*J164/1000</f>
        <v>0.48</v>
      </c>
      <c r="L164" s="44"/>
      <c r="M164" s="44"/>
    </row>
    <row r="165" spans="1:13" ht="15.75">
      <c r="A165" s="54"/>
      <c r="B165" s="157"/>
      <c r="C165" s="115"/>
      <c r="D165" s="54"/>
      <c r="E165" s="48" t="s">
        <v>20</v>
      </c>
      <c r="F165" s="46">
        <f>5*H167/200</f>
        <v>5</v>
      </c>
      <c r="G165" s="46"/>
      <c r="H165" s="481">
        <f>F165</f>
        <v>5</v>
      </c>
      <c r="I165" s="481"/>
      <c r="J165" s="5">
        <v>990</v>
      </c>
      <c r="K165" s="38">
        <f>F165*J165/1000</f>
        <v>4.95</v>
      </c>
      <c r="L165" s="44"/>
      <c r="M165" s="44"/>
    </row>
    <row r="166" spans="1:13" ht="15.75">
      <c r="A166" s="54"/>
      <c r="B166" s="157"/>
      <c r="C166" s="115"/>
      <c r="D166" s="54"/>
      <c r="E166" s="120" t="s">
        <v>94</v>
      </c>
      <c r="F166" s="46">
        <f>0.5*H167/200</f>
        <v>0.5</v>
      </c>
      <c r="G166" s="46"/>
      <c r="H166" s="481">
        <f>F166</f>
        <v>0.5</v>
      </c>
      <c r="I166" s="481"/>
      <c r="J166" s="5">
        <v>20</v>
      </c>
      <c r="K166" s="38">
        <f>F166*J166/1000</f>
        <v>0.01</v>
      </c>
      <c r="L166" s="44"/>
      <c r="M166" s="44"/>
    </row>
    <row r="167" spans="1:13" ht="15.75">
      <c r="A167" s="54"/>
      <c r="B167" s="157"/>
      <c r="C167" s="115"/>
      <c r="D167" s="54"/>
      <c r="E167" s="45" t="s">
        <v>74</v>
      </c>
      <c r="F167" s="10" t="s">
        <v>30</v>
      </c>
      <c r="G167" s="10"/>
      <c r="H167" s="482">
        <v>200</v>
      </c>
      <c r="I167" s="482"/>
      <c r="J167" s="5" t="s">
        <v>233</v>
      </c>
      <c r="L167" s="44"/>
      <c r="M167" s="44"/>
    </row>
    <row r="168" spans="1:13" ht="15.75">
      <c r="A168" s="115"/>
      <c r="B168" s="157"/>
      <c r="C168" s="115"/>
      <c r="D168" s="54"/>
      <c r="E168" s="54"/>
      <c r="F168" s="54"/>
      <c r="G168" s="54"/>
      <c r="H168" s="54"/>
      <c r="I168" s="54"/>
      <c r="L168" s="44"/>
      <c r="M168" s="44"/>
    </row>
    <row r="169" spans="1:13" ht="15.75">
      <c r="A169" s="54"/>
      <c r="B169" s="157"/>
      <c r="C169" s="115" t="s">
        <v>204</v>
      </c>
      <c r="D169" s="54">
        <v>200</v>
      </c>
      <c r="E169" s="54"/>
      <c r="F169" s="49" t="s">
        <v>181</v>
      </c>
      <c r="G169" s="49"/>
      <c r="H169" s="480" t="s">
        <v>182</v>
      </c>
      <c r="I169" s="480"/>
      <c r="K169" s="185">
        <f>SUM(K170:K173)</f>
        <v>9.86</v>
      </c>
      <c r="L169" s="44"/>
      <c r="M169" s="44"/>
    </row>
    <row r="170" spans="1:13" ht="15.75">
      <c r="A170" s="54"/>
      <c r="B170" s="157"/>
      <c r="C170" s="115"/>
      <c r="D170" s="54"/>
      <c r="E170" s="120" t="s">
        <v>205</v>
      </c>
      <c r="F170" s="46">
        <v>4</v>
      </c>
      <c r="G170" s="46"/>
      <c r="H170" s="481">
        <v>4</v>
      </c>
      <c r="I170" s="481"/>
      <c r="J170" s="5">
        <v>440</v>
      </c>
      <c r="K170" s="38">
        <f>J170*F170/1000</f>
        <v>1.76</v>
      </c>
      <c r="L170" s="44"/>
      <c r="M170" s="44"/>
    </row>
    <row r="171" spans="1:13" ht="15.75">
      <c r="A171" s="54"/>
      <c r="B171" s="157"/>
      <c r="C171" s="115"/>
      <c r="D171" s="54"/>
      <c r="E171" s="48" t="s">
        <v>103</v>
      </c>
      <c r="F171" s="46">
        <v>15</v>
      </c>
      <c r="G171" s="46"/>
      <c r="H171" s="481">
        <v>15</v>
      </c>
      <c r="I171" s="481"/>
      <c r="J171" s="5">
        <v>80</v>
      </c>
      <c r="K171" s="38">
        <f>J171*F171/1000</f>
        <v>1.2</v>
      </c>
      <c r="L171" s="44"/>
      <c r="M171" s="44"/>
    </row>
    <row r="172" spans="1:13" ht="15.75">
      <c r="A172" s="54"/>
      <c r="B172" s="157"/>
      <c r="C172" s="115"/>
      <c r="D172" s="54"/>
      <c r="E172" s="48" t="s">
        <v>206</v>
      </c>
      <c r="F172" s="46">
        <v>100</v>
      </c>
      <c r="G172" s="46"/>
      <c r="H172" s="481">
        <v>100</v>
      </c>
      <c r="I172" s="481"/>
      <c r="J172" s="5">
        <v>69</v>
      </c>
      <c r="K172" s="38">
        <f>J172*F172/1000</f>
        <v>6.9</v>
      </c>
      <c r="L172" s="44"/>
      <c r="M172" s="44"/>
    </row>
    <row r="173" spans="1:13" ht="15.75">
      <c r="A173" s="115"/>
      <c r="B173" s="157"/>
      <c r="C173" s="115"/>
      <c r="D173" s="54"/>
      <c r="E173" s="48" t="s">
        <v>27</v>
      </c>
      <c r="F173" s="46">
        <v>81</v>
      </c>
      <c r="G173" s="46"/>
      <c r="H173" s="481">
        <v>81</v>
      </c>
      <c r="I173" s="481"/>
      <c r="J173" s="5">
        <v>0</v>
      </c>
      <c r="K173" s="38">
        <f>J173*F173/1000</f>
        <v>0</v>
      </c>
      <c r="L173" s="44"/>
      <c r="M173" s="44"/>
    </row>
    <row r="174" spans="1:13" ht="15.75">
      <c r="A174" s="115"/>
      <c r="B174" s="157"/>
      <c r="C174" s="115"/>
      <c r="D174" s="54"/>
      <c r="E174" s="45" t="s">
        <v>74</v>
      </c>
      <c r="F174" s="10" t="s">
        <v>30</v>
      </c>
      <c r="G174" s="10"/>
      <c r="H174" s="482">
        <v>200</v>
      </c>
      <c r="I174" s="482"/>
      <c r="L174" s="44"/>
      <c r="M174" s="44"/>
    </row>
    <row r="175" spans="1:13" ht="15.75">
      <c r="A175" s="115"/>
      <c r="B175" s="157"/>
      <c r="C175" s="115"/>
      <c r="D175" s="54"/>
      <c r="E175" s="54"/>
      <c r="F175" s="54"/>
      <c r="G175" s="54"/>
      <c r="H175" s="54"/>
      <c r="I175" s="54"/>
      <c r="L175" s="44"/>
      <c r="M175" s="44"/>
    </row>
    <row r="176" spans="1:13" ht="15.75">
      <c r="A176" s="115"/>
      <c r="B176" s="157"/>
      <c r="C176" s="115" t="s">
        <v>214</v>
      </c>
      <c r="D176" s="54">
        <v>40</v>
      </c>
      <c r="E176" s="54"/>
      <c r="F176" s="54"/>
      <c r="G176" s="54"/>
      <c r="H176" s="54"/>
      <c r="I176" s="54"/>
      <c r="J176" s="5">
        <v>65.5</v>
      </c>
      <c r="K176" s="185">
        <f>D176*J176/1000</f>
        <v>2.62</v>
      </c>
      <c r="L176" s="44"/>
      <c r="M176" s="44"/>
    </row>
    <row r="177" spans="1:13" ht="16.5" thickBot="1">
      <c r="A177" s="115"/>
      <c r="B177" s="157"/>
      <c r="C177" s="115"/>
      <c r="D177" s="54"/>
      <c r="E177" s="54"/>
      <c r="F177" s="54"/>
      <c r="G177" s="54"/>
      <c r="H177" s="54"/>
      <c r="I177" s="54"/>
      <c r="L177" s="107"/>
      <c r="M177" s="107"/>
    </row>
    <row r="178" spans="1:13" ht="15.75">
      <c r="A178" s="189" t="s">
        <v>248</v>
      </c>
      <c r="B178" s="117" t="s">
        <v>189</v>
      </c>
      <c r="C178" s="189"/>
      <c r="D178" s="190"/>
      <c r="E178" s="190"/>
      <c r="F178" s="190"/>
      <c r="G178" s="190"/>
      <c r="H178" s="190"/>
      <c r="I178" s="190"/>
      <c r="J178" s="11"/>
      <c r="K178" s="116"/>
      <c r="L178" s="44"/>
      <c r="M178" s="44"/>
    </row>
    <row r="179" spans="1:13" ht="15.75">
      <c r="A179" s="115" t="s">
        <v>196</v>
      </c>
      <c r="B179" s="146">
        <f>K179+K186+K200+K208+K213</f>
        <v>60.201814999999989</v>
      </c>
      <c r="C179" s="127" t="s">
        <v>234</v>
      </c>
      <c r="D179" s="127">
        <v>40</v>
      </c>
      <c r="E179" s="147"/>
      <c r="F179" s="127"/>
      <c r="G179" s="127"/>
      <c r="H179" s="127"/>
      <c r="I179" s="127"/>
      <c r="K179" s="179">
        <f>K180+K181+K182+K183</f>
        <v>2.3736799999999998</v>
      </c>
      <c r="L179" s="44"/>
      <c r="M179" s="44">
        <f>K179+K186+K200+K208+K213</f>
        <v>60.201814999999989</v>
      </c>
    </row>
    <row r="180" spans="1:13" ht="15.75">
      <c r="A180" s="115"/>
      <c r="B180" s="157">
        <f>D179+D186+D200+D208+D213</f>
        <v>520</v>
      </c>
      <c r="C180" s="140"/>
      <c r="D180" s="127"/>
      <c r="E180" s="147" t="s">
        <v>235</v>
      </c>
      <c r="F180" s="148">
        <v>43</v>
      </c>
      <c r="G180" s="148"/>
      <c r="H180" s="127"/>
      <c r="I180" s="127"/>
      <c r="J180" s="5">
        <v>35</v>
      </c>
      <c r="K180" s="38">
        <f>J180*F180/1000</f>
        <v>1.5049999999999999</v>
      </c>
      <c r="L180" s="44"/>
      <c r="M180" s="44"/>
    </row>
    <row r="181" spans="1:13" ht="15.75">
      <c r="A181" s="115"/>
      <c r="B181" s="132"/>
      <c r="C181" s="140"/>
      <c r="D181" s="127"/>
      <c r="E181" s="147" t="s">
        <v>236</v>
      </c>
      <c r="F181" s="148">
        <v>2</v>
      </c>
      <c r="G181" s="148"/>
      <c r="H181" s="127"/>
      <c r="I181" s="127"/>
      <c r="J181" s="5">
        <v>80</v>
      </c>
      <c r="K181" s="38">
        <f>J181*F181/1000</f>
        <v>0.16</v>
      </c>
      <c r="L181" s="44"/>
      <c r="M181" s="44"/>
    </row>
    <row r="182" spans="1:13" ht="15.75">
      <c r="A182" s="115"/>
      <c r="B182" s="157"/>
      <c r="C182" s="140"/>
      <c r="D182" s="127"/>
      <c r="E182" s="147" t="s">
        <v>237</v>
      </c>
      <c r="F182" s="148">
        <v>4</v>
      </c>
      <c r="G182" s="148"/>
      <c r="H182" s="127"/>
      <c r="I182" s="127"/>
      <c r="J182" s="5">
        <v>177.17</v>
      </c>
      <c r="K182" s="38">
        <f>J182*F182/1000</f>
        <v>0.70867999999999998</v>
      </c>
      <c r="L182" s="44"/>
      <c r="M182" s="44"/>
    </row>
    <row r="183" spans="1:13" ht="15.75">
      <c r="A183" s="115"/>
      <c r="B183" s="157"/>
      <c r="C183" s="140"/>
      <c r="D183" s="127"/>
      <c r="E183" s="147"/>
      <c r="F183" s="496"/>
      <c r="G183" s="496"/>
      <c r="H183" s="127"/>
      <c r="I183" s="127"/>
      <c r="K183" s="38">
        <f>J183*F183/1000</f>
        <v>0</v>
      </c>
      <c r="L183" s="44"/>
      <c r="M183" s="44"/>
    </row>
    <row r="184" spans="1:13" ht="15.75">
      <c r="A184" s="115"/>
      <c r="B184" s="157"/>
      <c r="C184" s="140"/>
      <c r="D184" s="127"/>
      <c r="E184" s="127"/>
      <c r="F184" s="127"/>
      <c r="G184" s="127"/>
      <c r="H184" s="127"/>
      <c r="I184" s="127"/>
      <c r="L184" s="44"/>
      <c r="M184" s="44"/>
    </row>
    <row r="185" spans="1:13" ht="15.75">
      <c r="A185" s="115"/>
      <c r="B185" s="157"/>
      <c r="C185" s="115"/>
      <c r="D185" s="54"/>
      <c r="E185" s="54"/>
      <c r="F185" s="54"/>
      <c r="G185" s="54"/>
      <c r="H185" s="54"/>
      <c r="I185" s="54"/>
      <c r="L185" s="44"/>
      <c r="M185" s="44"/>
    </row>
    <row r="186" spans="1:13">
      <c r="A186" s="54"/>
      <c r="B186" s="169"/>
      <c r="C186" s="133" t="s">
        <v>238</v>
      </c>
      <c r="D186" s="54">
        <v>90</v>
      </c>
      <c r="E186" s="54"/>
      <c r="F186" s="480" t="s">
        <v>181</v>
      </c>
      <c r="G186" s="480"/>
      <c r="H186" s="480" t="s">
        <v>182</v>
      </c>
      <c r="I186" s="480"/>
      <c r="K186" s="186">
        <f>SUM(K187:K197)</f>
        <v>46.728134999999995</v>
      </c>
      <c r="L186" s="44"/>
      <c r="M186" s="44"/>
    </row>
    <row r="187" spans="1:13" ht="25.5">
      <c r="A187" s="54"/>
      <c r="B187" s="169"/>
      <c r="C187" s="115"/>
      <c r="D187" s="54"/>
      <c r="E187" s="7" t="s">
        <v>199</v>
      </c>
      <c r="F187" s="7">
        <v>65.7</v>
      </c>
      <c r="G187" s="7"/>
      <c r="H187" s="489">
        <v>46.8</v>
      </c>
      <c r="I187" s="489"/>
      <c r="J187" s="5">
        <v>614</v>
      </c>
      <c r="K187" s="38">
        <f>F187*J187/1000</f>
        <v>40.339800000000004</v>
      </c>
      <c r="L187" s="44"/>
      <c r="M187" s="44"/>
    </row>
    <row r="188" spans="1:13" ht="15.75">
      <c r="A188" s="54"/>
      <c r="B188" s="169"/>
      <c r="C188" s="115"/>
      <c r="D188" s="54"/>
      <c r="E188" s="7" t="s">
        <v>4</v>
      </c>
      <c r="F188" s="7">
        <v>9.4499999999999993</v>
      </c>
      <c r="G188" s="7"/>
      <c r="H188" s="489">
        <v>9.4499999999999993</v>
      </c>
      <c r="I188" s="489"/>
      <c r="J188" s="5">
        <v>55.1</v>
      </c>
      <c r="K188" s="38">
        <f>F188*J188/1000</f>
        <v>0.52069499999999991</v>
      </c>
      <c r="L188" s="44"/>
      <c r="M188" s="44"/>
    </row>
    <row r="189" spans="1:13" ht="15.75">
      <c r="A189" s="54"/>
      <c r="B189" s="169"/>
      <c r="C189" s="115"/>
      <c r="D189" s="54"/>
      <c r="E189" s="7" t="s">
        <v>27</v>
      </c>
      <c r="F189" s="7">
        <v>16.38</v>
      </c>
      <c r="G189" s="7"/>
      <c r="H189" s="489">
        <v>16.38</v>
      </c>
      <c r="I189" s="489"/>
      <c r="J189" s="5">
        <v>0</v>
      </c>
      <c r="K189" s="38">
        <f>F189*J189/1000</f>
        <v>0</v>
      </c>
      <c r="L189" s="44"/>
      <c r="M189" s="44"/>
    </row>
    <row r="190" spans="1:13" ht="15.75">
      <c r="A190" s="54"/>
      <c r="B190" s="169"/>
      <c r="C190" s="115"/>
      <c r="D190" s="54"/>
      <c r="E190" s="7" t="s">
        <v>20</v>
      </c>
      <c r="F190" s="7">
        <v>1.8</v>
      </c>
      <c r="G190" s="7"/>
      <c r="H190" s="489">
        <v>1.8</v>
      </c>
      <c r="I190" s="489"/>
      <c r="J190" s="5">
        <v>990</v>
      </c>
      <c r="K190" s="38">
        <f>F190*J190/1000</f>
        <v>1.782</v>
      </c>
      <c r="L190" s="44"/>
      <c r="M190" s="44"/>
    </row>
    <row r="191" spans="1:13" ht="25.5">
      <c r="A191" s="54"/>
      <c r="B191" s="169"/>
      <c r="C191" s="115"/>
      <c r="D191" s="54"/>
      <c r="E191" s="7" t="s">
        <v>80</v>
      </c>
      <c r="F191" s="7" t="s">
        <v>30</v>
      </c>
      <c r="G191" s="7"/>
      <c r="H191" s="489">
        <v>73.8</v>
      </c>
      <c r="I191" s="489"/>
      <c r="L191" s="44"/>
      <c r="M191" s="44"/>
    </row>
    <row r="192" spans="1:13" ht="25.5">
      <c r="A192" s="54"/>
      <c r="B192" s="169"/>
      <c r="C192" s="115"/>
      <c r="D192" s="54"/>
      <c r="E192" s="7" t="s">
        <v>239</v>
      </c>
      <c r="F192" s="7" t="s">
        <v>30</v>
      </c>
      <c r="G192" s="7"/>
      <c r="H192" s="489">
        <v>27</v>
      </c>
      <c r="I192" s="489"/>
      <c r="L192" s="44"/>
      <c r="M192" s="44"/>
    </row>
    <row r="193" spans="1:13" ht="15.75">
      <c r="A193" s="54"/>
      <c r="B193" s="169"/>
      <c r="C193" s="115"/>
      <c r="D193" s="54"/>
      <c r="E193" s="7" t="s">
        <v>26</v>
      </c>
      <c r="F193" s="7">
        <v>27</v>
      </c>
      <c r="G193" s="7"/>
      <c r="H193" s="489">
        <v>27</v>
      </c>
      <c r="I193" s="489"/>
      <c r="J193" s="5">
        <v>69</v>
      </c>
      <c r="K193" s="38">
        <f>F193*J193/1000</f>
        <v>1.863</v>
      </c>
      <c r="L193" s="44"/>
      <c r="M193" s="44"/>
    </row>
    <row r="194" spans="1:13" ht="15.75">
      <c r="A194" s="54"/>
      <c r="B194" s="169"/>
      <c r="C194" s="115"/>
      <c r="D194" s="54"/>
      <c r="E194" s="7" t="s">
        <v>115</v>
      </c>
      <c r="F194" s="7">
        <v>2.16</v>
      </c>
      <c r="G194" s="7"/>
      <c r="H194" s="489">
        <v>2.16</v>
      </c>
      <c r="I194" s="489"/>
      <c r="J194" s="5">
        <v>39</v>
      </c>
      <c r="K194" s="38">
        <f>F194*J194/1000</f>
        <v>8.4240000000000009E-2</v>
      </c>
      <c r="L194" s="44"/>
      <c r="M194" s="44"/>
    </row>
    <row r="195" spans="1:13" ht="15.75">
      <c r="A195" s="54"/>
      <c r="B195" s="169"/>
      <c r="C195" s="115"/>
      <c r="D195" s="54"/>
      <c r="E195" s="7" t="s">
        <v>20</v>
      </c>
      <c r="F195" s="7">
        <v>2.16</v>
      </c>
      <c r="G195" s="7"/>
      <c r="H195" s="489">
        <v>2.16</v>
      </c>
      <c r="I195" s="489"/>
      <c r="J195" s="5">
        <v>990</v>
      </c>
      <c r="K195" s="38">
        <f>F195*J195/1000</f>
        <v>2.1384000000000003</v>
      </c>
      <c r="L195" s="44"/>
      <c r="M195" s="44"/>
    </row>
    <row r="196" spans="1:13" ht="15.75">
      <c r="A196" s="54"/>
      <c r="B196" s="169"/>
      <c r="C196" s="115"/>
      <c r="D196" s="54"/>
      <c r="E196" s="40" t="s">
        <v>21</v>
      </c>
      <c r="F196" s="481">
        <v>90</v>
      </c>
      <c r="G196" s="481"/>
      <c r="H196" s="481"/>
      <c r="I196" s="481"/>
      <c r="K196" s="38">
        <f>F196*J196/1000</f>
        <v>0</v>
      </c>
      <c r="L196" s="44"/>
      <c r="M196" s="44"/>
    </row>
    <row r="197" spans="1:13" ht="15.75">
      <c r="A197" s="54"/>
      <c r="B197" s="169"/>
      <c r="C197" s="115"/>
      <c r="D197" s="54"/>
      <c r="E197" s="120"/>
      <c r="F197" s="46"/>
      <c r="G197" s="46"/>
      <c r="H197" s="46"/>
      <c r="I197" s="46"/>
      <c r="K197" s="38">
        <f>F197*J197/1000</f>
        <v>0</v>
      </c>
      <c r="L197" s="44"/>
      <c r="M197" s="44"/>
    </row>
    <row r="198" spans="1:13" ht="15.75">
      <c r="A198" s="54"/>
      <c r="B198" s="169"/>
      <c r="C198" s="115"/>
      <c r="D198" s="54"/>
      <c r="E198" s="45"/>
      <c r="F198" s="46"/>
      <c r="G198" s="46"/>
      <c r="H198" s="10"/>
      <c r="I198" s="10"/>
      <c r="L198" s="44"/>
      <c r="M198" s="44"/>
    </row>
    <row r="199" spans="1:13" ht="15.75">
      <c r="A199" s="115"/>
      <c r="B199" s="157"/>
      <c r="C199" s="115"/>
      <c r="D199" s="54"/>
      <c r="E199" s="54"/>
      <c r="F199" s="54"/>
      <c r="G199" s="54"/>
      <c r="H199" s="54"/>
      <c r="I199" s="54"/>
      <c r="L199" s="44"/>
      <c r="M199" s="44"/>
    </row>
    <row r="200" spans="1:13" ht="15.75">
      <c r="A200" s="54"/>
      <c r="B200" s="169"/>
      <c r="C200" s="115" t="s">
        <v>240</v>
      </c>
      <c r="D200" s="54">
        <v>150</v>
      </c>
      <c r="E200" s="54"/>
      <c r="F200" s="480" t="s">
        <v>181</v>
      </c>
      <c r="G200" s="480"/>
      <c r="H200" s="480" t="s">
        <v>182</v>
      </c>
      <c r="I200" s="480"/>
      <c r="K200" s="186">
        <f>SUM(K201:K205)</f>
        <v>7.306</v>
      </c>
      <c r="L200" s="44"/>
      <c r="M200" s="44"/>
    </row>
    <row r="201" spans="1:13" ht="15.75">
      <c r="A201" s="54"/>
      <c r="B201" s="169"/>
      <c r="C201" s="115"/>
      <c r="D201" s="54"/>
      <c r="E201" s="120" t="s">
        <v>25</v>
      </c>
      <c r="F201" s="46">
        <v>16</v>
      </c>
      <c r="G201" s="46"/>
      <c r="H201" s="481">
        <v>16</v>
      </c>
      <c r="I201" s="481"/>
      <c r="J201" s="5">
        <v>94</v>
      </c>
      <c r="K201" s="38">
        <f>F201*J201/1000</f>
        <v>1.504</v>
      </c>
      <c r="L201" s="44"/>
      <c r="M201" s="44"/>
    </row>
    <row r="202" spans="1:13" ht="15.75">
      <c r="A202" s="115"/>
      <c r="B202" s="157"/>
      <c r="C202" s="115"/>
      <c r="D202" s="54"/>
      <c r="E202" s="48" t="s">
        <v>27</v>
      </c>
      <c r="F202" s="46">
        <v>120</v>
      </c>
      <c r="G202" s="46"/>
      <c r="H202" s="481">
        <v>120</v>
      </c>
      <c r="I202" s="481"/>
      <c r="J202" s="5">
        <v>0</v>
      </c>
      <c r="K202" s="38">
        <f>F202*J202/1000</f>
        <v>0</v>
      </c>
      <c r="L202" s="44"/>
      <c r="M202" s="44"/>
    </row>
    <row r="203" spans="1:13" ht="15.75">
      <c r="A203" s="115"/>
      <c r="B203" s="157"/>
      <c r="C203" s="115"/>
      <c r="D203" s="54"/>
      <c r="E203" s="120" t="s">
        <v>241</v>
      </c>
      <c r="F203" s="46">
        <v>18</v>
      </c>
      <c r="G203" s="46"/>
      <c r="H203" s="481">
        <v>18</v>
      </c>
      <c r="I203" s="481"/>
      <c r="J203" s="5">
        <v>47</v>
      </c>
      <c r="K203" s="38">
        <f>F203*J203/1000</f>
        <v>0.84599999999999997</v>
      </c>
      <c r="L203" s="44"/>
      <c r="M203" s="44"/>
    </row>
    <row r="204" spans="1:13" ht="15.75">
      <c r="A204" s="115"/>
      <c r="B204" s="157"/>
      <c r="C204" s="115"/>
      <c r="D204" s="54"/>
      <c r="E204" s="120" t="s">
        <v>94</v>
      </c>
      <c r="F204" s="46">
        <v>0.3</v>
      </c>
      <c r="G204" s="46"/>
      <c r="H204" s="481">
        <v>0.3</v>
      </c>
      <c r="I204" s="481"/>
      <c r="J204" s="5">
        <v>20</v>
      </c>
      <c r="K204" s="38">
        <f>F204*J204/1000</f>
        <v>6.0000000000000001E-3</v>
      </c>
      <c r="L204" s="44"/>
      <c r="M204" s="44"/>
    </row>
    <row r="205" spans="1:13" ht="15.75">
      <c r="A205" s="115"/>
      <c r="B205" s="157"/>
      <c r="C205" s="115"/>
      <c r="D205" s="54"/>
      <c r="E205" s="120" t="s">
        <v>20</v>
      </c>
      <c r="F205" s="46">
        <v>5</v>
      </c>
      <c r="G205" s="46"/>
      <c r="H205" s="481">
        <v>5</v>
      </c>
      <c r="I205" s="481"/>
      <c r="J205" s="5">
        <v>990</v>
      </c>
      <c r="K205" s="38">
        <f>F205*J205/1000</f>
        <v>4.95</v>
      </c>
      <c r="L205" s="44"/>
      <c r="M205" s="44"/>
    </row>
    <row r="206" spans="1:13" ht="15.75">
      <c r="A206" s="115"/>
      <c r="B206" s="157"/>
      <c r="C206" s="115"/>
      <c r="D206" s="54"/>
      <c r="E206" s="45" t="s">
        <v>74</v>
      </c>
      <c r="F206" s="10" t="s">
        <v>30</v>
      </c>
      <c r="G206" s="10"/>
      <c r="H206" s="482">
        <v>150</v>
      </c>
      <c r="I206" s="482"/>
      <c r="L206" s="44"/>
      <c r="M206" s="44"/>
    </row>
    <row r="207" spans="1:13" ht="15.75">
      <c r="A207" s="115"/>
      <c r="B207" s="157"/>
      <c r="C207" s="115"/>
      <c r="D207" s="54"/>
      <c r="E207" s="54"/>
      <c r="F207" s="54"/>
      <c r="G207" s="54"/>
      <c r="H207" s="54"/>
      <c r="I207" s="54"/>
      <c r="L207" s="44"/>
      <c r="M207" s="44"/>
    </row>
    <row r="208" spans="1:13" ht="15.75">
      <c r="A208" s="115"/>
      <c r="B208" s="157"/>
      <c r="C208" s="115" t="s">
        <v>68</v>
      </c>
      <c r="D208" s="54">
        <v>200</v>
      </c>
      <c r="E208" s="54"/>
      <c r="F208" s="49" t="s">
        <v>181</v>
      </c>
      <c r="G208" s="49"/>
      <c r="H208" s="480" t="s">
        <v>182</v>
      </c>
      <c r="I208" s="480"/>
      <c r="K208" s="186">
        <f>K209+K210</f>
        <v>1.5899999999999999</v>
      </c>
      <c r="L208" s="44"/>
      <c r="M208" s="44"/>
    </row>
    <row r="209" spans="1:13" ht="15.75">
      <c r="A209" s="115"/>
      <c r="B209" s="157"/>
      <c r="C209" s="115"/>
      <c r="D209" s="54"/>
      <c r="E209" s="120" t="s">
        <v>157</v>
      </c>
      <c r="F209" s="46">
        <v>0.6</v>
      </c>
      <c r="G209" s="46"/>
      <c r="H209" s="481">
        <v>0.6</v>
      </c>
      <c r="I209" s="481"/>
      <c r="J209" s="5">
        <v>650</v>
      </c>
      <c r="K209" s="38">
        <f>J209*F209/1000</f>
        <v>0.39</v>
      </c>
      <c r="L209" s="44"/>
      <c r="M209" s="44"/>
    </row>
    <row r="210" spans="1:13" ht="15.75">
      <c r="A210" s="115"/>
      <c r="B210" s="157"/>
      <c r="C210" s="115"/>
      <c r="D210" s="54"/>
      <c r="E210" s="48" t="s">
        <v>103</v>
      </c>
      <c r="F210" s="46">
        <v>15</v>
      </c>
      <c r="G210" s="46"/>
      <c r="H210" s="481">
        <v>15</v>
      </c>
      <c r="I210" s="481"/>
      <c r="J210" s="5">
        <v>80</v>
      </c>
      <c r="K210" s="38">
        <f>J210*F210/1000</f>
        <v>1.2</v>
      </c>
      <c r="L210" s="44"/>
      <c r="M210" s="44"/>
    </row>
    <row r="211" spans="1:13" ht="15.75">
      <c r="A211" s="115"/>
      <c r="B211" s="157"/>
      <c r="C211" s="115"/>
      <c r="D211" s="54"/>
      <c r="E211" s="45" t="s">
        <v>74</v>
      </c>
      <c r="F211" s="10" t="s">
        <v>30</v>
      </c>
      <c r="G211" s="10"/>
      <c r="H211" s="482">
        <v>200</v>
      </c>
      <c r="I211" s="482"/>
      <c r="L211" s="44"/>
      <c r="M211" s="44"/>
    </row>
    <row r="212" spans="1:13" ht="15.75">
      <c r="A212" s="115"/>
      <c r="B212" s="157"/>
      <c r="C212" s="115"/>
      <c r="D212" s="54"/>
      <c r="E212" s="54"/>
      <c r="F212" s="54"/>
      <c r="G212" s="54"/>
      <c r="H212" s="54"/>
      <c r="I212" s="54"/>
      <c r="L212" s="44"/>
      <c r="M212" s="44"/>
    </row>
    <row r="213" spans="1:13" ht="15.75">
      <c r="A213" s="115"/>
      <c r="B213" s="157"/>
      <c r="C213" s="115" t="s">
        <v>69</v>
      </c>
      <c r="D213" s="54">
        <v>40</v>
      </c>
      <c r="E213" s="54"/>
      <c r="F213" s="54"/>
      <c r="G213" s="54"/>
      <c r="H213" s="54"/>
      <c r="I213" s="54"/>
      <c r="J213" s="5">
        <v>55.1</v>
      </c>
      <c r="K213" s="186">
        <f>D213*J213/1000</f>
        <v>2.2040000000000002</v>
      </c>
      <c r="L213" s="44"/>
      <c r="M213" s="44"/>
    </row>
    <row r="214" spans="1:13" ht="16.5" thickBot="1">
      <c r="A214" s="115"/>
      <c r="B214" s="157"/>
      <c r="C214" s="115"/>
      <c r="D214" s="54"/>
      <c r="E214" s="54"/>
      <c r="F214" s="54"/>
      <c r="G214" s="54"/>
      <c r="H214" s="54"/>
      <c r="I214" s="54"/>
      <c r="L214" s="107"/>
      <c r="M214" s="107"/>
    </row>
    <row r="215" spans="1:13" ht="15.75">
      <c r="A215" s="189" t="s">
        <v>249</v>
      </c>
      <c r="B215" s="117" t="s">
        <v>189</v>
      </c>
      <c r="C215" s="189"/>
      <c r="D215" s="190"/>
      <c r="E215" s="190"/>
      <c r="F215" s="190"/>
      <c r="G215" s="190"/>
      <c r="H215" s="190"/>
      <c r="I215" s="190"/>
      <c r="J215" s="11"/>
      <c r="K215" s="116"/>
      <c r="L215" s="44"/>
      <c r="M215" s="44"/>
    </row>
    <row r="216" spans="1:13" ht="15.75">
      <c r="A216" s="115" t="s">
        <v>208</v>
      </c>
      <c r="B216" s="149">
        <f>K218+K222+K234+K240</f>
        <v>68.008105263157901</v>
      </c>
      <c r="C216" s="115"/>
      <c r="D216" s="54"/>
      <c r="E216" s="54"/>
      <c r="F216" s="54"/>
      <c r="G216" s="54"/>
      <c r="H216" s="54"/>
      <c r="I216" s="54"/>
      <c r="J216" s="141"/>
      <c r="K216" s="181"/>
      <c r="L216" s="44"/>
      <c r="M216" s="44">
        <f>K218+K222+K234+K240</f>
        <v>68.008105263157901</v>
      </c>
    </row>
    <row r="217" spans="1:13" ht="15.75">
      <c r="A217" s="115"/>
      <c r="B217" s="157">
        <f>D216+D218+D222+D234+D240</f>
        <v>440</v>
      </c>
      <c r="C217" s="115"/>
      <c r="D217" s="54"/>
      <c r="E217" s="54"/>
      <c r="F217" s="54"/>
      <c r="G217" s="54"/>
      <c r="H217" s="54"/>
      <c r="I217" s="54"/>
      <c r="L217" s="44"/>
      <c r="M217" s="44"/>
    </row>
    <row r="218" spans="1:13" ht="15.75">
      <c r="A218" s="54"/>
      <c r="B218" s="169"/>
      <c r="C218" s="115" t="s">
        <v>212</v>
      </c>
      <c r="D218" s="54">
        <v>30</v>
      </c>
      <c r="E218" s="54"/>
      <c r="F218" s="150" t="s">
        <v>181</v>
      </c>
      <c r="G218" s="150" t="s">
        <v>182</v>
      </c>
      <c r="H218" s="54"/>
      <c r="I218" s="54"/>
      <c r="K218" s="181">
        <f>K219</f>
        <v>11.842105263157896</v>
      </c>
      <c r="L218" s="44"/>
      <c r="M218" s="44"/>
    </row>
    <row r="219" spans="1:13" ht="15.75">
      <c r="A219" s="54"/>
      <c r="B219" s="169"/>
      <c r="C219" s="115"/>
      <c r="D219" s="54"/>
      <c r="E219" s="151" t="s">
        <v>212</v>
      </c>
      <c r="F219" s="152">
        <v>30</v>
      </c>
      <c r="G219" s="152">
        <f>F219</f>
        <v>30</v>
      </c>
      <c r="H219" s="54"/>
      <c r="I219" s="54"/>
      <c r="J219" s="145">
        <v>150</v>
      </c>
      <c r="K219" s="38">
        <f>J219/380*F219</f>
        <v>11.842105263157896</v>
      </c>
      <c r="L219" s="44"/>
      <c r="M219" s="44"/>
    </row>
    <row r="220" spans="1:13" ht="15.75">
      <c r="A220" s="54"/>
      <c r="B220" s="169"/>
      <c r="C220" s="115"/>
      <c r="D220" s="54"/>
      <c r="E220" s="153" t="s">
        <v>74</v>
      </c>
      <c r="F220" s="154" t="s">
        <v>30</v>
      </c>
      <c r="G220" s="155">
        <v>30</v>
      </c>
      <c r="H220" s="54"/>
      <c r="I220" s="54"/>
      <c r="L220" s="44"/>
      <c r="M220" s="44"/>
    </row>
    <row r="221" spans="1:13" ht="15.75">
      <c r="A221" s="115"/>
      <c r="B221" s="157"/>
      <c r="C221" s="115"/>
      <c r="D221" s="54"/>
      <c r="E221" s="54"/>
      <c r="F221" s="54"/>
      <c r="G221" s="54"/>
      <c r="H221" s="54"/>
      <c r="I221" s="54"/>
      <c r="L221" s="44"/>
      <c r="M221" s="44"/>
    </row>
    <row r="222" spans="1:13" ht="15.75">
      <c r="A222" s="54"/>
      <c r="B222" s="169"/>
      <c r="C222" s="115" t="s">
        <v>242</v>
      </c>
      <c r="D222" s="54">
        <v>170</v>
      </c>
      <c r="E222" s="54"/>
      <c r="F222" s="480" t="s">
        <v>181</v>
      </c>
      <c r="G222" s="480"/>
      <c r="H222" s="480" t="s">
        <v>182</v>
      </c>
      <c r="I222" s="480"/>
      <c r="K222" s="181">
        <f>SUM(K223:K231)</f>
        <v>51.956000000000003</v>
      </c>
      <c r="L222" s="44"/>
      <c r="M222" s="44"/>
    </row>
    <row r="223" spans="1:13" ht="15.75">
      <c r="A223" s="54"/>
      <c r="B223" s="169"/>
      <c r="C223" s="115"/>
      <c r="D223" s="54"/>
      <c r="E223" s="120" t="s">
        <v>243</v>
      </c>
      <c r="F223" s="47">
        <f>134*H232/170</f>
        <v>134</v>
      </c>
      <c r="G223" s="47"/>
      <c r="H223" s="497">
        <f t="shared" ref="H223:H231" si="6">F223</f>
        <v>134</v>
      </c>
      <c r="I223" s="497"/>
      <c r="J223" s="5">
        <v>318</v>
      </c>
      <c r="K223" s="38">
        <f t="shared" ref="K223:K231" si="7">J223*F223/1000</f>
        <v>42.612000000000002</v>
      </c>
      <c r="L223" s="44"/>
      <c r="M223" s="44"/>
    </row>
    <row r="224" spans="1:13" ht="15.75">
      <c r="A224" s="54"/>
      <c r="B224" s="169"/>
      <c r="C224" s="115"/>
      <c r="D224" s="54"/>
      <c r="E224" s="48" t="s">
        <v>25</v>
      </c>
      <c r="F224" s="47">
        <f>18*H232/170</f>
        <v>18</v>
      </c>
      <c r="G224" s="47"/>
      <c r="H224" s="497">
        <f t="shared" si="6"/>
        <v>18</v>
      </c>
      <c r="I224" s="497"/>
      <c r="J224" s="5">
        <v>94</v>
      </c>
      <c r="K224" s="38">
        <f t="shared" si="7"/>
        <v>1.6919999999999999</v>
      </c>
      <c r="L224" s="44"/>
      <c r="M224" s="44"/>
    </row>
    <row r="225" spans="1:13" ht="15.75">
      <c r="A225" s="54"/>
      <c r="B225" s="169"/>
      <c r="C225" s="115"/>
      <c r="D225" s="54"/>
      <c r="E225" s="48" t="s">
        <v>26</v>
      </c>
      <c r="F225" s="47">
        <f>40*H232/170</f>
        <v>40</v>
      </c>
      <c r="G225" s="47"/>
      <c r="H225" s="497">
        <f t="shared" si="6"/>
        <v>40</v>
      </c>
      <c r="I225" s="497"/>
      <c r="J225" s="5">
        <v>69</v>
      </c>
      <c r="K225" s="38">
        <f t="shared" si="7"/>
        <v>2.76</v>
      </c>
      <c r="L225" s="44"/>
      <c r="M225" s="44"/>
    </row>
    <row r="226" spans="1:13" ht="15.75">
      <c r="A226" s="54"/>
      <c r="B226" s="169"/>
      <c r="C226" s="115"/>
      <c r="D226" s="54"/>
      <c r="E226" s="48" t="s">
        <v>79</v>
      </c>
      <c r="F226" s="47">
        <f>0.02*H232/170</f>
        <v>0.02</v>
      </c>
      <c r="G226" s="47"/>
      <c r="H226" s="497">
        <f t="shared" si="6"/>
        <v>0.02</v>
      </c>
      <c r="I226" s="497"/>
      <c r="J226" s="5">
        <v>1200</v>
      </c>
      <c r="K226" s="38">
        <f t="shared" si="7"/>
        <v>2.4E-2</v>
      </c>
      <c r="L226" s="44"/>
      <c r="M226" s="44"/>
    </row>
    <row r="227" spans="1:13" ht="15.75">
      <c r="A227" s="54"/>
      <c r="B227" s="169"/>
      <c r="C227" s="115"/>
      <c r="D227" s="54"/>
      <c r="E227" s="48" t="s">
        <v>183</v>
      </c>
      <c r="F227" s="47">
        <f>9*H232/170</f>
        <v>9</v>
      </c>
      <c r="G227" s="47"/>
      <c r="H227" s="497">
        <f t="shared" si="6"/>
        <v>9</v>
      </c>
      <c r="I227" s="497"/>
      <c r="J227" s="5">
        <v>216</v>
      </c>
      <c r="K227" s="38">
        <f t="shared" si="7"/>
        <v>1.944</v>
      </c>
      <c r="L227" s="44"/>
      <c r="M227" s="44"/>
    </row>
    <row r="228" spans="1:13" ht="15.75">
      <c r="A228" s="54"/>
      <c r="B228" s="169"/>
      <c r="C228" s="115"/>
      <c r="D228" s="54"/>
      <c r="E228" s="48" t="s">
        <v>103</v>
      </c>
      <c r="F228" s="47">
        <f>3*H232/170</f>
        <v>3</v>
      </c>
      <c r="G228" s="47"/>
      <c r="H228" s="497">
        <f t="shared" si="6"/>
        <v>3</v>
      </c>
      <c r="I228" s="497"/>
      <c r="J228" s="5">
        <v>80</v>
      </c>
      <c r="K228" s="38">
        <f t="shared" si="7"/>
        <v>0.24</v>
      </c>
      <c r="L228" s="44"/>
      <c r="M228" s="44"/>
    </row>
    <row r="229" spans="1:13" ht="15.75">
      <c r="A229" s="54"/>
      <c r="B229" s="169"/>
      <c r="C229" s="115"/>
      <c r="D229" s="54"/>
      <c r="E229" s="48" t="s">
        <v>174</v>
      </c>
      <c r="F229" s="47">
        <f>1.5*H232/170</f>
        <v>1.5</v>
      </c>
      <c r="G229" s="47"/>
      <c r="H229" s="497">
        <f t="shared" si="6"/>
        <v>1.5</v>
      </c>
      <c r="I229" s="497"/>
      <c r="J229" s="5">
        <v>200</v>
      </c>
      <c r="K229" s="38">
        <f t="shared" si="7"/>
        <v>0.3</v>
      </c>
      <c r="L229" s="44"/>
      <c r="M229" s="44"/>
    </row>
    <row r="230" spans="1:13" ht="15.75">
      <c r="A230" s="54"/>
      <c r="B230" s="169"/>
      <c r="C230" s="115"/>
      <c r="D230" s="54"/>
      <c r="E230" s="48" t="s">
        <v>109</v>
      </c>
      <c r="F230" s="47">
        <f>2*H232/170</f>
        <v>2</v>
      </c>
      <c r="G230" s="47"/>
      <c r="H230" s="497">
        <f t="shared" si="6"/>
        <v>2</v>
      </c>
      <c r="I230" s="497"/>
      <c r="J230" s="5">
        <v>202</v>
      </c>
      <c r="K230" s="38">
        <f t="shared" si="7"/>
        <v>0.40400000000000003</v>
      </c>
      <c r="L230" s="44"/>
      <c r="M230" s="44"/>
    </row>
    <row r="231" spans="1:13" ht="15.75">
      <c r="A231" s="54"/>
      <c r="B231" s="169"/>
      <c r="C231" s="115"/>
      <c r="D231" s="54"/>
      <c r="E231" s="48" t="s">
        <v>20</v>
      </c>
      <c r="F231" s="47">
        <f>2*H232/170</f>
        <v>2</v>
      </c>
      <c r="G231" s="47"/>
      <c r="H231" s="497">
        <f t="shared" si="6"/>
        <v>2</v>
      </c>
      <c r="I231" s="497"/>
      <c r="J231" s="5">
        <v>990</v>
      </c>
      <c r="K231" s="38">
        <f t="shared" si="7"/>
        <v>1.98</v>
      </c>
      <c r="L231" s="44"/>
      <c r="M231" s="44"/>
    </row>
    <row r="232" spans="1:13" ht="15.75">
      <c r="A232" s="54"/>
      <c r="B232" s="169"/>
      <c r="C232" s="115"/>
      <c r="D232" s="54"/>
      <c r="E232" s="45" t="s">
        <v>74</v>
      </c>
      <c r="F232" s="10" t="s">
        <v>30</v>
      </c>
      <c r="G232" s="10"/>
      <c r="H232" s="482">
        <v>170</v>
      </c>
      <c r="I232" s="482"/>
      <c r="L232" s="44"/>
      <c r="M232" s="44"/>
    </row>
    <row r="233" spans="1:13" ht="15.75">
      <c r="A233" s="115"/>
      <c r="B233" s="157"/>
      <c r="C233" s="115"/>
      <c r="D233" s="54"/>
      <c r="E233" s="54"/>
      <c r="F233" s="54"/>
      <c r="G233" s="54"/>
      <c r="H233" s="54"/>
      <c r="I233" s="54"/>
      <c r="L233" s="44"/>
      <c r="M233" s="44"/>
    </row>
    <row r="234" spans="1:13" ht="15.75">
      <c r="A234" s="115"/>
      <c r="B234" s="157"/>
      <c r="C234" s="115" t="s">
        <v>68</v>
      </c>
      <c r="D234" s="54">
        <v>200</v>
      </c>
      <c r="E234" s="54"/>
      <c r="F234" s="49" t="s">
        <v>181</v>
      </c>
      <c r="G234" s="49"/>
      <c r="H234" s="480" t="s">
        <v>182</v>
      </c>
      <c r="I234" s="480"/>
      <c r="K234" s="186">
        <f>K235+K236</f>
        <v>1.5899999999999999</v>
      </c>
      <c r="L234" s="44"/>
      <c r="M234" s="44"/>
    </row>
    <row r="235" spans="1:13" ht="15.75">
      <c r="A235" s="115"/>
      <c r="B235" s="157"/>
      <c r="C235" s="115"/>
      <c r="D235" s="54"/>
      <c r="E235" s="120" t="s">
        <v>157</v>
      </c>
      <c r="F235" s="46">
        <v>0.6</v>
      </c>
      <c r="G235" s="46"/>
      <c r="H235" s="481">
        <v>0.6</v>
      </c>
      <c r="I235" s="481"/>
      <c r="J235" s="5">
        <v>650</v>
      </c>
      <c r="K235" s="38">
        <f>J235*F235/1000</f>
        <v>0.39</v>
      </c>
      <c r="L235" s="44"/>
      <c r="M235" s="44"/>
    </row>
    <row r="236" spans="1:13" ht="15.75">
      <c r="A236" s="115"/>
      <c r="B236" s="157"/>
      <c r="C236" s="115"/>
      <c r="D236" s="54"/>
      <c r="E236" s="48" t="s">
        <v>103</v>
      </c>
      <c r="F236" s="46">
        <v>15</v>
      </c>
      <c r="G236" s="46"/>
      <c r="H236" s="481">
        <v>15</v>
      </c>
      <c r="I236" s="481"/>
      <c r="J236" s="5">
        <v>80</v>
      </c>
      <c r="K236" s="38">
        <f>J236*F236/1000</f>
        <v>1.2</v>
      </c>
      <c r="L236" s="44"/>
      <c r="M236" s="44"/>
    </row>
    <row r="237" spans="1:13" ht="15.75">
      <c r="A237" s="115"/>
      <c r="B237" s="157"/>
      <c r="C237" s="115"/>
      <c r="D237" s="54"/>
      <c r="E237" s="45" t="s">
        <v>74</v>
      </c>
      <c r="F237" s="10" t="s">
        <v>30</v>
      </c>
      <c r="G237" s="10"/>
      <c r="H237" s="482">
        <v>200</v>
      </c>
      <c r="I237" s="482"/>
      <c r="L237" s="44"/>
      <c r="M237" s="44"/>
    </row>
    <row r="238" spans="1:13" ht="15.75">
      <c r="A238" s="115"/>
      <c r="B238" s="157"/>
      <c r="C238" s="115"/>
      <c r="D238" s="54"/>
      <c r="E238" s="45"/>
      <c r="F238" s="478"/>
      <c r="G238" s="478"/>
      <c r="H238" s="478"/>
      <c r="I238" s="478"/>
      <c r="L238" s="44"/>
      <c r="M238" s="44"/>
    </row>
    <row r="239" spans="1:13" ht="15.75">
      <c r="A239" s="115"/>
      <c r="B239" s="157"/>
      <c r="C239" s="115"/>
      <c r="D239" s="54"/>
      <c r="E239" s="54"/>
      <c r="F239" s="54"/>
      <c r="G239" s="54"/>
      <c r="H239" s="54"/>
      <c r="I239" s="54"/>
      <c r="L239" s="44"/>
      <c r="M239" s="44"/>
    </row>
    <row r="240" spans="1:13" ht="15.75">
      <c r="A240" s="115"/>
      <c r="B240" s="157"/>
      <c r="C240" s="115" t="s">
        <v>214</v>
      </c>
      <c r="D240" s="54">
        <v>40</v>
      </c>
      <c r="E240" s="54"/>
      <c r="F240" s="54"/>
      <c r="G240" s="54"/>
      <c r="H240" s="54"/>
      <c r="I240" s="54"/>
      <c r="J240" s="5">
        <v>65.5</v>
      </c>
      <c r="K240" s="181">
        <f>D240*J240/1000</f>
        <v>2.62</v>
      </c>
      <c r="L240" s="44"/>
      <c r="M240" s="44"/>
    </row>
    <row r="241" spans="1:13" ht="16.5" thickBot="1">
      <c r="A241" s="115"/>
      <c r="B241" s="157"/>
      <c r="C241" s="115"/>
      <c r="D241" s="54"/>
      <c r="E241" s="54"/>
      <c r="F241" s="54"/>
      <c r="G241" s="54"/>
      <c r="H241" s="54"/>
      <c r="I241" s="54"/>
      <c r="L241" s="107"/>
      <c r="M241" s="107"/>
    </row>
    <row r="242" spans="1:13" ht="15.75">
      <c r="A242" s="189" t="s">
        <v>250</v>
      </c>
      <c r="B242" s="117" t="s">
        <v>189</v>
      </c>
      <c r="C242" s="189" t="s">
        <v>197</v>
      </c>
      <c r="D242" s="190">
        <v>40</v>
      </c>
      <c r="E242" s="190"/>
      <c r="F242" s="190">
        <v>42</v>
      </c>
      <c r="G242" s="190"/>
      <c r="H242" s="190"/>
      <c r="I242" s="190"/>
      <c r="J242" s="11"/>
      <c r="K242" s="116">
        <f>J242*F242/1000</f>
        <v>0</v>
      </c>
      <c r="L242" s="44"/>
      <c r="M242" s="44"/>
    </row>
    <row r="243" spans="1:13" ht="15.75">
      <c r="A243" s="115"/>
      <c r="B243" s="156">
        <f>+K242+K244+K269+K275+K277+K284</f>
        <v>77.125259999999997</v>
      </c>
      <c r="C243" s="115"/>
      <c r="D243" s="54"/>
      <c r="E243" s="54"/>
      <c r="F243" s="54"/>
      <c r="G243" s="54"/>
      <c r="H243" s="54"/>
      <c r="I243" s="54"/>
      <c r="L243" s="44"/>
      <c r="M243" s="105">
        <f>K244+K269+K275+K277+K284</f>
        <v>77.125259999999997</v>
      </c>
    </row>
    <row r="244" spans="1:13" ht="15.75">
      <c r="A244" s="115"/>
      <c r="B244" s="157">
        <f>D242+D244+D269+D275+D277+D284</f>
        <v>680</v>
      </c>
      <c r="C244" s="54" t="s">
        <v>244</v>
      </c>
      <c r="D244" s="54">
        <v>100</v>
      </c>
      <c r="E244" s="54"/>
      <c r="F244" s="480" t="s">
        <v>181</v>
      </c>
      <c r="G244" s="480"/>
      <c r="H244" s="480" t="s">
        <v>182</v>
      </c>
      <c r="I244" s="480"/>
      <c r="K244" s="158">
        <f>SUM(K245:K264)</f>
        <v>48.51726</v>
      </c>
      <c r="L244" s="44"/>
      <c r="M244" s="44"/>
    </row>
    <row r="245" spans="1:13" ht="25.5">
      <c r="A245" s="115"/>
      <c r="B245" s="157"/>
      <c r="C245" s="115"/>
      <c r="D245" s="54"/>
      <c r="E245" s="7" t="s">
        <v>199</v>
      </c>
      <c r="F245" s="7">
        <v>69.400000000000006</v>
      </c>
      <c r="G245" s="7"/>
      <c r="H245" s="489">
        <v>50.7</v>
      </c>
      <c r="I245" s="489"/>
      <c r="J245" s="5">
        <v>614</v>
      </c>
      <c r="K245" s="38">
        <f>F245*J245/1000</f>
        <v>42.611600000000003</v>
      </c>
      <c r="L245" s="44"/>
      <c r="M245" s="44"/>
    </row>
    <row r="246" spans="1:13" ht="15.75">
      <c r="A246" s="54"/>
      <c r="B246" s="169"/>
      <c r="C246" s="115"/>
      <c r="D246" s="54"/>
      <c r="E246" s="7" t="s">
        <v>26</v>
      </c>
      <c r="F246" s="7">
        <v>16</v>
      </c>
      <c r="G246" s="7"/>
      <c r="H246" s="489">
        <v>16</v>
      </c>
      <c r="I246" s="489"/>
      <c r="J246" s="5">
        <v>69</v>
      </c>
      <c r="K246" s="38">
        <f>F246*J246/1000</f>
        <v>1.1040000000000001</v>
      </c>
      <c r="L246" s="44"/>
      <c r="M246" s="44"/>
    </row>
    <row r="247" spans="1:13" ht="15.75">
      <c r="A247" s="54"/>
      <c r="B247" s="169"/>
      <c r="C247" s="115"/>
      <c r="D247" s="54"/>
      <c r="E247" s="7" t="s">
        <v>4</v>
      </c>
      <c r="F247" s="7">
        <v>11</v>
      </c>
      <c r="G247" s="7"/>
      <c r="H247" s="489">
        <v>11</v>
      </c>
      <c r="I247" s="489"/>
      <c r="J247" s="5">
        <v>55.1</v>
      </c>
      <c r="K247" s="38">
        <f>F247*J247/1000</f>
        <v>0.60609999999999997</v>
      </c>
      <c r="L247" s="44"/>
      <c r="M247" s="44"/>
    </row>
    <row r="248" spans="1:13" ht="15.75">
      <c r="A248" s="54"/>
      <c r="B248" s="169"/>
      <c r="C248" s="115"/>
      <c r="D248" s="54"/>
      <c r="E248" s="7" t="s">
        <v>86</v>
      </c>
      <c r="F248" s="7">
        <v>31</v>
      </c>
      <c r="G248" s="7"/>
      <c r="H248" s="489">
        <v>26</v>
      </c>
      <c r="I248" s="489"/>
      <c r="J248" s="5">
        <v>27</v>
      </c>
      <c r="K248" s="38">
        <f>F248*J248/1000</f>
        <v>0.83699999999999997</v>
      </c>
      <c r="L248" s="44"/>
      <c r="M248" s="44"/>
    </row>
    <row r="249" spans="1:13" ht="15.75">
      <c r="A249" s="54"/>
      <c r="B249" s="169"/>
      <c r="C249" s="115"/>
      <c r="D249" s="54"/>
      <c r="E249" s="7" t="s">
        <v>81</v>
      </c>
      <c r="F249" s="7">
        <v>4</v>
      </c>
      <c r="G249" s="7"/>
      <c r="H249" s="489">
        <v>4</v>
      </c>
      <c r="I249" s="489"/>
      <c r="J249" s="5">
        <v>177.17</v>
      </c>
      <c r="K249" s="38">
        <f>F249*J249/1000</f>
        <v>0.70867999999999998</v>
      </c>
      <c r="L249" s="44"/>
      <c r="M249" s="44"/>
    </row>
    <row r="250" spans="1:13" ht="15.75">
      <c r="A250" s="54"/>
      <c r="B250" s="169"/>
      <c r="C250" s="115"/>
      <c r="D250" s="54"/>
      <c r="E250" s="7" t="s">
        <v>245</v>
      </c>
      <c r="F250" s="7" t="s">
        <v>30</v>
      </c>
      <c r="G250" s="7"/>
      <c r="H250" s="489">
        <v>13</v>
      </c>
      <c r="I250" s="489"/>
      <c r="L250" s="44"/>
      <c r="M250" s="44"/>
    </row>
    <row r="251" spans="1:13" ht="25.5">
      <c r="A251" s="54"/>
      <c r="B251" s="169"/>
      <c r="C251" s="115"/>
      <c r="D251" s="54"/>
      <c r="E251" s="7" t="s">
        <v>246</v>
      </c>
      <c r="F251" s="7" t="s">
        <v>30</v>
      </c>
      <c r="G251" s="7"/>
      <c r="H251" s="489">
        <v>80</v>
      </c>
      <c r="I251" s="489"/>
      <c r="L251" s="44"/>
      <c r="M251" s="44"/>
    </row>
    <row r="252" spans="1:13" ht="15.75">
      <c r="A252" s="54"/>
      <c r="B252" s="169"/>
      <c r="C252" s="115"/>
      <c r="D252" s="54"/>
      <c r="E252" s="7" t="s">
        <v>115</v>
      </c>
      <c r="F252" s="7">
        <v>5.3</v>
      </c>
      <c r="G252" s="7"/>
      <c r="H252" s="489">
        <v>5.3</v>
      </c>
      <c r="I252" s="489"/>
      <c r="J252" s="5">
        <v>39</v>
      </c>
      <c r="K252" s="38">
        <f>F252*J252/1000</f>
        <v>0.20669999999999999</v>
      </c>
      <c r="L252" s="44"/>
      <c r="M252" s="44"/>
    </row>
    <row r="253" spans="1:13" ht="25.5">
      <c r="A253" s="54"/>
      <c r="B253" s="169"/>
      <c r="C253" s="115"/>
      <c r="D253" s="54"/>
      <c r="E253" s="7" t="s">
        <v>29</v>
      </c>
      <c r="F253" s="7">
        <v>0.35</v>
      </c>
      <c r="G253" s="7"/>
      <c r="H253" s="489">
        <v>0.35</v>
      </c>
      <c r="I253" s="489"/>
      <c r="J253" s="5">
        <v>20</v>
      </c>
      <c r="K253" s="38">
        <f>F253*J253/1000</f>
        <v>7.0000000000000001E-3</v>
      </c>
      <c r="L253" s="44"/>
      <c r="M253" s="44"/>
    </row>
    <row r="254" spans="1:13" ht="25.5">
      <c r="A254" s="54"/>
      <c r="B254" s="169"/>
      <c r="C254" s="115"/>
      <c r="D254" s="54"/>
      <c r="E254" s="7" t="s">
        <v>80</v>
      </c>
      <c r="F254" s="7" t="s">
        <v>30</v>
      </c>
      <c r="G254" s="7"/>
      <c r="H254" s="489">
        <v>95</v>
      </c>
      <c r="I254" s="489"/>
      <c r="L254" s="44"/>
      <c r="M254" s="44"/>
    </row>
    <row r="255" spans="1:13" ht="15.75">
      <c r="A255" s="54"/>
      <c r="B255" s="169"/>
      <c r="C255" s="115"/>
      <c r="D255" s="54"/>
      <c r="E255" s="7" t="s">
        <v>81</v>
      </c>
      <c r="F255" s="7">
        <v>4</v>
      </c>
      <c r="G255" s="7"/>
      <c r="H255" s="489">
        <v>4</v>
      </c>
      <c r="I255" s="489"/>
      <c r="J255" s="5">
        <v>177.17</v>
      </c>
      <c r="K255" s="38">
        <f t="shared" ref="K255:K264" si="8">F255*J255/1000</f>
        <v>0.70867999999999998</v>
      </c>
      <c r="L255" s="44"/>
      <c r="M255" s="44"/>
    </row>
    <row r="256" spans="1:13" ht="15.75">
      <c r="A256" s="54"/>
      <c r="B256" s="169"/>
      <c r="C256" s="115"/>
      <c r="D256" s="54"/>
      <c r="E256" s="7" t="s">
        <v>88</v>
      </c>
      <c r="F256" s="7">
        <v>18</v>
      </c>
      <c r="G256" s="7"/>
      <c r="H256" s="489">
        <v>18</v>
      </c>
      <c r="I256" s="489"/>
      <c r="K256" s="38">
        <f t="shared" si="8"/>
        <v>0</v>
      </c>
      <c r="L256" s="44"/>
      <c r="M256" s="44"/>
    </row>
    <row r="257" spans="1:13" ht="15.75">
      <c r="A257" s="54"/>
      <c r="B257" s="169"/>
      <c r="C257" s="115"/>
      <c r="D257" s="54"/>
      <c r="E257" s="7" t="s">
        <v>20</v>
      </c>
      <c r="F257" s="7">
        <v>0.9</v>
      </c>
      <c r="G257" s="7"/>
      <c r="H257" s="489">
        <v>0.9</v>
      </c>
      <c r="I257" s="489"/>
      <c r="J257" s="5">
        <v>990</v>
      </c>
      <c r="K257" s="38">
        <f t="shared" si="8"/>
        <v>0.89100000000000001</v>
      </c>
      <c r="L257" s="44"/>
      <c r="M257" s="44"/>
    </row>
    <row r="258" spans="1:13" ht="15.75">
      <c r="A258" s="54"/>
      <c r="B258" s="169"/>
      <c r="C258" s="115"/>
      <c r="D258" s="54"/>
      <c r="E258" s="7" t="s">
        <v>115</v>
      </c>
      <c r="F258" s="7">
        <v>0.9</v>
      </c>
      <c r="G258" s="7"/>
      <c r="H258" s="489">
        <v>0.9</v>
      </c>
      <c r="I258" s="489"/>
      <c r="J258" s="5">
        <v>39</v>
      </c>
      <c r="K258" s="38">
        <f t="shared" si="8"/>
        <v>3.5099999999999999E-2</v>
      </c>
      <c r="L258" s="44"/>
      <c r="M258" s="44"/>
    </row>
    <row r="259" spans="1:13" ht="15.75">
      <c r="A259" s="54"/>
      <c r="B259" s="169"/>
      <c r="C259" s="115"/>
      <c r="D259" s="54"/>
      <c r="E259" s="7" t="s">
        <v>85</v>
      </c>
      <c r="F259" s="7">
        <v>1.5</v>
      </c>
      <c r="G259" s="7"/>
      <c r="H259" s="489">
        <v>1.2</v>
      </c>
      <c r="I259" s="489"/>
      <c r="J259" s="5">
        <v>35</v>
      </c>
      <c r="K259" s="38">
        <f t="shared" si="8"/>
        <v>5.2499999999999998E-2</v>
      </c>
      <c r="L259" s="44"/>
      <c r="M259" s="44"/>
    </row>
    <row r="260" spans="1:13" ht="15.75">
      <c r="A260" s="54"/>
      <c r="B260" s="169"/>
      <c r="C260" s="115"/>
      <c r="D260" s="54"/>
      <c r="E260" s="7" t="s">
        <v>86</v>
      </c>
      <c r="F260" s="7">
        <v>0.5</v>
      </c>
      <c r="G260" s="7"/>
      <c r="H260" s="489">
        <v>0.4</v>
      </c>
      <c r="I260" s="489"/>
      <c r="J260" s="5">
        <v>27</v>
      </c>
      <c r="K260" s="38">
        <f t="shared" si="8"/>
        <v>1.35E-2</v>
      </c>
      <c r="L260" s="44"/>
      <c r="M260" s="44"/>
    </row>
    <row r="261" spans="1:13" ht="15.75">
      <c r="A261" s="54"/>
      <c r="B261" s="169"/>
      <c r="C261" s="115"/>
      <c r="D261" s="54"/>
      <c r="E261" s="7" t="s">
        <v>203</v>
      </c>
      <c r="F261" s="7">
        <v>2</v>
      </c>
      <c r="G261" s="7"/>
      <c r="H261" s="489">
        <v>2</v>
      </c>
      <c r="I261" s="489"/>
      <c r="J261" s="5">
        <v>210</v>
      </c>
      <c r="K261" s="38">
        <f t="shared" si="8"/>
        <v>0.42</v>
      </c>
      <c r="L261" s="44"/>
      <c r="M261" s="44"/>
    </row>
    <row r="262" spans="1:13" ht="15.75">
      <c r="A262" s="54"/>
      <c r="B262" s="169"/>
      <c r="C262" s="115"/>
      <c r="D262" s="54"/>
      <c r="E262" s="7" t="s">
        <v>20</v>
      </c>
      <c r="F262" s="7">
        <v>0.3</v>
      </c>
      <c r="G262" s="7"/>
      <c r="H262" s="489">
        <v>0.3</v>
      </c>
      <c r="I262" s="489"/>
      <c r="J262" s="5">
        <v>990</v>
      </c>
      <c r="K262" s="38">
        <f t="shared" si="8"/>
        <v>0.29699999999999999</v>
      </c>
      <c r="L262" s="44"/>
      <c r="M262" s="44"/>
    </row>
    <row r="263" spans="1:13" ht="15.75">
      <c r="A263" s="54"/>
      <c r="B263" s="169"/>
      <c r="C263" s="115"/>
      <c r="D263" s="54"/>
      <c r="E263" s="7" t="s">
        <v>28</v>
      </c>
      <c r="F263" s="7">
        <v>0.2</v>
      </c>
      <c r="G263" s="7"/>
      <c r="H263" s="489">
        <v>0.2</v>
      </c>
      <c r="I263" s="489"/>
      <c r="J263" s="5">
        <v>80</v>
      </c>
      <c r="K263" s="38">
        <f t="shared" si="8"/>
        <v>1.6E-2</v>
      </c>
      <c r="L263" s="44"/>
      <c r="M263" s="44"/>
    </row>
    <row r="264" spans="1:13" ht="25.5">
      <c r="A264" s="54"/>
      <c r="B264" s="169"/>
      <c r="C264" s="115"/>
      <c r="D264" s="54"/>
      <c r="E264" s="7" t="s">
        <v>29</v>
      </c>
      <c r="F264" s="7">
        <v>0.12</v>
      </c>
      <c r="G264" s="7"/>
      <c r="H264" s="489">
        <v>0.12</v>
      </c>
      <c r="I264" s="489"/>
      <c r="J264" s="5">
        <v>20</v>
      </c>
      <c r="K264" s="38">
        <f t="shared" si="8"/>
        <v>2.3999999999999998E-3</v>
      </c>
      <c r="L264" s="44"/>
      <c r="M264" s="44"/>
    </row>
    <row r="265" spans="1:13" ht="15.75">
      <c r="A265" s="54"/>
      <c r="B265" s="169"/>
      <c r="C265" s="115"/>
      <c r="D265" s="54"/>
      <c r="E265" s="7" t="s">
        <v>27</v>
      </c>
      <c r="F265" s="7">
        <v>20</v>
      </c>
      <c r="G265" s="7"/>
      <c r="H265" s="489">
        <v>20</v>
      </c>
      <c r="I265" s="489"/>
      <c r="L265" s="44"/>
      <c r="M265" s="44"/>
    </row>
    <row r="266" spans="1:13" ht="15.75">
      <c r="A266" s="54"/>
      <c r="B266" s="169"/>
      <c r="C266" s="115"/>
      <c r="D266" s="54"/>
      <c r="E266" s="7" t="s">
        <v>247</v>
      </c>
      <c r="F266" s="489" t="s">
        <v>30</v>
      </c>
      <c r="G266" s="489"/>
      <c r="H266" s="489">
        <v>20</v>
      </c>
      <c r="I266" s="489"/>
      <c r="L266" s="44"/>
      <c r="M266" s="44"/>
    </row>
    <row r="267" spans="1:13" ht="15.75">
      <c r="A267" s="54"/>
      <c r="B267" s="169"/>
      <c r="C267" s="115"/>
      <c r="D267" s="54"/>
      <c r="E267" s="40" t="s">
        <v>21</v>
      </c>
      <c r="F267" s="478">
        <v>100</v>
      </c>
      <c r="G267" s="478"/>
      <c r="H267" s="478"/>
      <c r="I267" s="478"/>
      <c r="L267" s="44"/>
      <c r="M267" s="44"/>
    </row>
    <row r="268" spans="1:13" ht="15.75">
      <c r="A268" s="115"/>
      <c r="B268" s="157"/>
      <c r="C268" s="115"/>
      <c r="D268" s="54"/>
      <c r="E268" s="54"/>
      <c r="F268" s="54"/>
      <c r="G268" s="54"/>
      <c r="H268" s="54"/>
      <c r="I268" s="54"/>
      <c r="L268" s="44"/>
      <c r="M268" s="44"/>
    </row>
    <row r="269" spans="1:13" ht="15.75">
      <c r="A269" s="54"/>
      <c r="B269" s="169"/>
      <c r="C269" s="115" t="s">
        <v>222</v>
      </c>
      <c r="D269" s="54">
        <v>150</v>
      </c>
      <c r="E269" s="54"/>
      <c r="F269" s="480" t="s">
        <v>181</v>
      </c>
      <c r="G269" s="480"/>
      <c r="H269" s="480" t="s">
        <v>182</v>
      </c>
      <c r="I269" s="480"/>
      <c r="K269" s="158">
        <f>SUM(K270:K272)</f>
        <v>6.0440000000000005</v>
      </c>
      <c r="L269" s="44"/>
      <c r="M269" s="44"/>
    </row>
    <row r="270" spans="1:13" ht="15.75">
      <c r="A270" s="54"/>
      <c r="B270" s="169"/>
      <c r="C270" s="115"/>
      <c r="D270" s="54"/>
      <c r="E270" s="120" t="s">
        <v>105</v>
      </c>
      <c r="F270" s="46">
        <v>52</v>
      </c>
      <c r="G270" s="46"/>
      <c r="H270" s="481">
        <v>52</v>
      </c>
      <c r="I270" s="481"/>
      <c r="J270" s="5">
        <v>59</v>
      </c>
      <c r="K270" s="38">
        <f>F270*J270/1000</f>
        <v>3.0680000000000001</v>
      </c>
      <c r="L270" s="44"/>
      <c r="M270" s="44"/>
    </row>
    <row r="271" spans="1:13" ht="15.75">
      <c r="A271" s="54"/>
      <c r="B271" s="169"/>
      <c r="C271" s="115"/>
      <c r="D271" s="54"/>
      <c r="E271" s="120" t="s">
        <v>94</v>
      </c>
      <c r="F271" s="46">
        <v>0.3</v>
      </c>
      <c r="G271" s="46"/>
      <c r="H271" s="481">
        <v>0.3</v>
      </c>
      <c r="I271" s="481"/>
      <c r="J271" s="5">
        <v>20</v>
      </c>
      <c r="K271" s="38">
        <f>F271*J271/1000</f>
        <v>6.0000000000000001E-3</v>
      </c>
      <c r="L271" s="44"/>
      <c r="M271" s="44"/>
    </row>
    <row r="272" spans="1:13" ht="15.75">
      <c r="A272" s="54"/>
      <c r="B272" s="169"/>
      <c r="C272" s="115"/>
      <c r="D272" s="54"/>
      <c r="E272" s="120" t="s">
        <v>20</v>
      </c>
      <c r="F272" s="46">
        <v>3</v>
      </c>
      <c r="G272" s="46"/>
      <c r="H272" s="481">
        <v>3</v>
      </c>
      <c r="I272" s="481"/>
      <c r="J272" s="5">
        <v>990</v>
      </c>
      <c r="K272" s="38">
        <f>F272*J272/1000</f>
        <v>2.97</v>
      </c>
      <c r="L272" s="44"/>
      <c r="M272" s="44"/>
    </row>
    <row r="273" spans="1:13" ht="15.75">
      <c r="A273" s="54"/>
      <c r="B273" s="169"/>
      <c r="C273" s="115"/>
      <c r="D273" s="54"/>
      <c r="E273" s="45" t="s">
        <v>74</v>
      </c>
      <c r="F273" s="10" t="s">
        <v>30</v>
      </c>
      <c r="G273" s="10"/>
      <c r="H273" s="482">
        <v>150</v>
      </c>
      <c r="I273" s="482"/>
      <c r="L273" s="44"/>
      <c r="M273" s="44"/>
    </row>
    <row r="274" spans="1:13" ht="15.75">
      <c r="A274" s="115"/>
      <c r="B274" s="157"/>
      <c r="C274" s="115"/>
      <c r="D274" s="54"/>
      <c r="E274" s="54"/>
      <c r="F274" s="54"/>
      <c r="G274" s="54"/>
      <c r="H274" s="54"/>
      <c r="I274" s="54"/>
      <c r="L274" s="44"/>
      <c r="M274" s="44"/>
    </row>
    <row r="275" spans="1:13" ht="15.75">
      <c r="A275" s="54"/>
      <c r="B275" s="169"/>
      <c r="C275" s="115" t="s">
        <v>190</v>
      </c>
      <c r="D275" s="54">
        <v>150</v>
      </c>
      <c r="E275" s="54"/>
      <c r="F275" s="54"/>
      <c r="G275" s="54"/>
      <c r="H275" s="54"/>
      <c r="I275" s="54"/>
      <c r="J275" s="5">
        <v>70</v>
      </c>
      <c r="K275" s="158">
        <f>J275*D275/1000</f>
        <v>10.5</v>
      </c>
      <c r="L275" s="44"/>
      <c r="M275" s="44"/>
    </row>
    <row r="276" spans="1:13" ht="15.75">
      <c r="A276" s="115"/>
      <c r="B276" s="157"/>
      <c r="C276" s="115"/>
      <c r="D276" s="54"/>
      <c r="E276" s="54"/>
      <c r="F276" s="54"/>
      <c r="G276" s="54"/>
      <c r="H276" s="54"/>
      <c r="I276" s="54"/>
      <c r="L276" s="44"/>
      <c r="M276" s="44"/>
    </row>
    <row r="277" spans="1:13" ht="15.75">
      <c r="A277" s="54"/>
      <c r="B277" s="169"/>
      <c r="C277" s="115" t="s">
        <v>204</v>
      </c>
      <c r="D277" s="54">
        <v>200</v>
      </c>
      <c r="E277" s="54"/>
      <c r="F277" s="480" t="s">
        <v>181</v>
      </c>
      <c r="G277" s="480"/>
      <c r="H277" s="480" t="s">
        <v>182</v>
      </c>
      <c r="I277" s="480"/>
      <c r="K277" s="158">
        <f>SUM(K278:K281)</f>
        <v>9.86</v>
      </c>
      <c r="L277" s="44"/>
      <c r="M277" s="44"/>
    </row>
    <row r="278" spans="1:13" ht="15.75">
      <c r="A278" s="54"/>
      <c r="B278" s="169"/>
      <c r="C278" s="115"/>
      <c r="D278" s="54"/>
      <c r="E278" s="120" t="s">
        <v>205</v>
      </c>
      <c r="F278" s="46">
        <v>4</v>
      </c>
      <c r="G278" s="46"/>
      <c r="H278" s="481">
        <v>4</v>
      </c>
      <c r="I278" s="481"/>
      <c r="J278" s="5">
        <v>440</v>
      </c>
      <c r="K278" s="38">
        <f>J278*F278/1000</f>
        <v>1.76</v>
      </c>
      <c r="L278" s="44"/>
      <c r="M278" s="44"/>
    </row>
    <row r="279" spans="1:13" ht="15.75">
      <c r="A279" s="54"/>
      <c r="B279" s="169"/>
      <c r="C279" s="115"/>
      <c r="D279" s="54"/>
      <c r="E279" s="48" t="s">
        <v>103</v>
      </c>
      <c r="F279" s="46">
        <v>15</v>
      </c>
      <c r="G279" s="46"/>
      <c r="H279" s="481">
        <v>15</v>
      </c>
      <c r="I279" s="481"/>
      <c r="J279" s="5">
        <v>80</v>
      </c>
      <c r="K279" s="38">
        <f>J279*F279/1000</f>
        <v>1.2</v>
      </c>
      <c r="L279" s="44"/>
      <c r="M279" s="44"/>
    </row>
    <row r="280" spans="1:13" ht="15.75">
      <c r="A280" s="54"/>
      <c r="B280" s="169"/>
      <c r="C280" s="115"/>
      <c r="D280" s="54"/>
      <c r="E280" s="48" t="s">
        <v>206</v>
      </c>
      <c r="F280" s="46">
        <v>100</v>
      </c>
      <c r="G280" s="46"/>
      <c r="H280" s="481">
        <v>100</v>
      </c>
      <c r="I280" s="481"/>
      <c r="J280" s="5">
        <v>69</v>
      </c>
      <c r="K280" s="38">
        <f>J280*F280/1000</f>
        <v>6.9</v>
      </c>
      <c r="L280" s="44"/>
      <c r="M280" s="44"/>
    </row>
    <row r="281" spans="1:13" ht="15.75">
      <c r="A281" s="54"/>
      <c r="B281" s="169"/>
      <c r="C281" s="115"/>
      <c r="D281" s="54"/>
      <c r="E281" s="48" t="s">
        <v>27</v>
      </c>
      <c r="F281" s="46">
        <v>81</v>
      </c>
      <c r="G281" s="46"/>
      <c r="H281" s="481">
        <v>81</v>
      </c>
      <c r="I281" s="481"/>
      <c r="J281" s="5">
        <v>0</v>
      </c>
      <c r="K281" s="38">
        <f>J281*F281/1000</f>
        <v>0</v>
      </c>
      <c r="L281" s="44"/>
      <c r="M281" s="44"/>
    </row>
    <row r="282" spans="1:13" ht="15.75">
      <c r="A282" s="54"/>
      <c r="B282" s="169"/>
      <c r="C282" s="115"/>
      <c r="D282" s="54"/>
      <c r="E282" s="45" t="s">
        <v>74</v>
      </c>
      <c r="F282" s="478" t="s">
        <v>30</v>
      </c>
      <c r="G282" s="478"/>
      <c r="H282" s="482">
        <v>200</v>
      </c>
      <c r="I282" s="482"/>
      <c r="L282" s="44"/>
      <c r="M282" s="44"/>
    </row>
    <row r="283" spans="1:13" ht="15.75">
      <c r="A283" s="115"/>
      <c r="B283" s="157"/>
      <c r="C283" s="115"/>
      <c r="D283" s="54"/>
      <c r="E283" s="54"/>
      <c r="F283" s="54"/>
      <c r="G283" s="54"/>
      <c r="H283" s="54"/>
      <c r="I283" s="54"/>
      <c r="L283" s="44"/>
      <c r="M283" s="44"/>
    </row>
    <row r="284" spans="1:13" ht="15.75">
      <c r="A284" s="54"/>
      <c r="B284" s="169"/>
      <c r="C284" s="115" t="s">
        <v>69</v>
      </c>
      <c r="D284" s="54">
        <v>40</v>
      </c>
      <c r="E284" s="54"/>
      <c r="F284" s="54"/>
      <c r="G284" s="54"/>
      <c r="H284" s="54"/>
      <c r="I284" s="54"/>
      <c r="J284" s="5">
        <v>55.1</v>
      </c>
      <c r="K284" s="158">
        <f>D284*J284/1000</f>
        <v>2.2040000000000002</v>
      </c>
      <c r="L284" s="44"/>
      <c r="M284" s="44"/>
    </row>
    <row r="285" spans="1:13" ht="16.5" thickBot="1">
      <c r="A285" s="115"/>
      <c r="B285" s="157"/>
      <c r="C285" s="115"/>
      <c r="D285" s="54"/>
      <c r="E285" s="54"/>
      <c r="F285" s="54"/>
      <c r="G285" s="54"/>
      <c r="H285" s="54"/>
      <c r="I285" s="54"/>
      <c r="L285" s="107"/>
      <c r="M285" s="107"/>
    </row>
    <row r="286" spans="1:13" ht="15.75">
      <c r="A286" s="189" t="s">
        <v>251</v>
      </c>
      <c r="B286" s="117">
        <f>K291+K293+K303+K308+K289</f>
        <v>48.82</v>
      </c>
      <c r="C286" s="189"/>
      <c r="D286" s="190"/>
      <c r="E286" s="190"/>
      <c r="F286" s="190"/>
      <c r="G286" s="190"/>
      <c r="H286" s="190"/>
      <c r="I286" s="190"/>
      <c r="J286" s="11"/>
      <c r="K286" s="116"/>
      <c r="L286" s="44"/>
      <c r="M286" s="44"/>
    </row>
    <row r="287" spans="1:13" ht="15.75">
      <c r="A287" s="115"/>
      <c r="B287" s="157">
        <f>D291+D293+D303+D308+D289</f>
        <v>500</v>
      </c>
      <c r="C287" s="115"/>
      <c r="D287" s="54"/>
      <c r="E287" s="120"/>
      <c r="F287" s="46"/>
      <c r="G287" s="46"/>
      <c r="H287" s="481"/>
      <c r="I287" s="481"/>
      <c r="J287" s="39"/>
      <c r="K287" s="177"/>
      <c r="L287" s="44"/>
      <c r="M287" s="44" t="e">
        <f>K291+K293+#REF!+K303+K308</f>
        <v>#REF!</v>
      </c>
    </row>
    <row r="288" spans="1:13" ht="15.75">
      <c r="A288" s="115"/>
      <c r="B288" s="157"/>
      <c r="C288" s="140"/>
      <c r="D288" s="127"/>
      <c r="E288" s="147"/>
      <c r="F288" s="498"/>
      <c r="G288" s="498"/>
      <c r="H288" s="127"/>
      <c r="I288" s="127"/>
      <c r="J288" s="39"/>
      <c r="K288" s="177"/>
      <c r="L288" s="44"/>
      <c r="M288" s="44"/>
    </row>
    <row r="289" spans="1:13" ht="15.75">
      <c r="A289" s="115"/>
      <c r="B289" s="157"/>
      <c r="C289" s="144" t="s">
        <v>197</v>
      </c>
      <c r="D289" s="139">
        <v>40</v>
      </c>
      <c r="E289" s="139"/>
      <c r="F289" s="139">
        <v>42</v>
      </c>
      <c r="G289" s="139"/>
      <c r="H289" s="139"/>
      <c r="I289" s="139"/>
      <c r="J289" s="145"/>
      <c r="K289" s="187">
        <f>J289*F289/1000</f>
        <v>0</v>
      </c>
      <c r="L289" s="44"/>
      <c r="M289" s="44"/>
    </row>
    <row r="290" spans="1:13" ht="15.75">
      <c r="A290" s="115"/>
      <c r="B290" s="157"/>
      <c r="C290" s="115"/>
      <c r="D290" s="54"/>
      <c r="E290" s="54"/>
      <c r="F290" s="54"/>
      <c r="G290" s="54"/>
      <c r="H290" s="54"/>
      <c r="I290" s="54"/>
      <c r="L290" s="44"/>
      <c r="M290" s="44"/>
    </row>
    <row r="291" spans="1:13" ht="15.75">
      <c r="A291" s="115"/>
      <c r="B291" s="157"/>
      <c r="C291" s="115" t="s">
        <v>230</v>
      </c>
      <c r="D291" s="54">
        <v>20</v>
      </c>
      <c r="E291" s="120" t="s">
        <v>231</v>
      </c>
      <c r="F291" s="46">
        <v>21</v>
      </c>
      <c r="G291" s="46"/>
      <c r="H291" s="481">
        <v>20</v>
      </c>
      <c r="I291" s="481"/>
      <c r="J291" s="5">
        <v>550</v>
      </c>
      <c r="K291" s="185">
        <f>F291*J291/1000</f>
        <v>11.55</v>
      </c>
      <c r="L291" s="44"/>
      <c r="M291" s="44"/>
    </row>
    <row r="292" spans="1:13" ht="15.75">
      <c r="A292" s="115"/>
      <c r="B292" s="157"/>
      <c r="C292" s="115"/>
      <c r="D292" s="54"/>
      <c r="E292" s="54"/>
      <c r="F292" s="54"/>
      <c r="G292" s="54"/>
      <c r="H292" s="54"/>
      <c r="I292" s="54"/>
      <c r="L292" s="44"/>
      <c r="M292" s="44"/>
    </row>
    <row r="293" spans="1:13" ht="15.75">
      <c r="A293" s="115"/>
      <c r="B293" s="157"/>
      <c r="C293" s="115" t="s">
        <v>73</v>
      </c>
      <c r="D293" s="54">
        <v>200</v>
      </c>
      <c r="E293" s="54"/>
      <c r="F293" s="480" t="s">
        <v>181</v>
      </c>
      <c r="G293" s="480"/>
      <c r="H293" s="480" t="s">
        <v>182</v>
      </c>
      <c r="I293" s="480"/>
      <c r="K293" s="184">
        <f>SUM(K294:K299)</f>
        <v>33.06</v>
      </c>
      <c r="L293" s="44"/>
      <c r="M293" s="44"/>
    </row>
    <row r="294" spans="1:13" ht="15.75">
      <c r="A294" s="115"/>
      <c r="B294" s="157"/>
      <c r="C294" s="115"/>
      <c r="D294" s="54"/>
      <c r="E294" s="120" t="s">
        <v>183</v>
      </c>
      <c r="F294" s="46">
        <v>100</v>
      </c>
      <c r="G294" s="46"/>
      <c r="H294" s="481">
        <f t="shared" ref="H294:H298" si="9">F294</f>
        <v>100</v>
      </c>
      <c r="I294" s="481"/>
      <c r="J294" s="5">
        <v>216</v>
      </c>
      <c r="K294" s="38">
        <f t="shared" ref="K294:K299" si="10">F294*J294/1000</f>
        <v>21.6</v>
      </c>
      <c r="L294" s="44"/>
      <c r="M294" s="44"/>
    </row>
    <row r="295" spans="1:13" ht="15.75">
      <c r="A295" s="115"/>
      <c r="B295" s="157"/>
      <c r="C295" s="115"/>
      <c r="D295" s="54"/>
      <c r="E295" s="48" t="s">
        <v>26</v>
      </c>
      <c r="F295" s="46">
        <v>80</v>
      </c>
      <c r="G295" s="46"/>
      <c r="H295" s="481">
        <f t="shared" si="9"/>
        <v>80</v>
      </c>
      <c r="I295" s="481"/>
      <c r="J295" s="5">
        <v>69</v>
      </c>
      <c r="K295" s="38">
        <f t="shared" si="10"/>
        <v>5.52</v>
      </c>
      <c r="L295" s="44"/>
      <c r="M295" s="44"/>
    </row>
    <row r="296" spans="1:13" ht="15.75">
      <c r="A296" s="115"/>
      <c r="B296" s="157"/>
      <c r="C296" s="115"/>
      <c r="D296" s="54"/>
      <c r="E296" s="48" t="s">
        <v>20</v>
      </c>
      <c r="F296" s="46">
        <v>3</v>
      </c>
      <c r="G296" s="46"/>
      <c r="H296" s="481">
        <f t="shared" si="9"/>
        <v>3</v>
      </c>
      <c r="I296" s="481"/>
      <c r="J296" s="5">
        <v>990</v>
      </c>
      <c r="K296" s="38">
        <f t="shared" si="10"/>
        <v>2.97</v>
      </c>
      <c r="L296" s="44"/>
      <c r="M296" s="44"/>
    </row>
    <row r="297" spans="1:13" ht="15.75">
      <c r="A297" s="115"/>
      <c r="B297" s="157"/>
      <c r="C297" s="115"/>
      <c r="D297" s="54"/>
      <c r="E297" s="48" t="s">
        <v>90</v>
      </c>
      <c r="F297" s="46">
        <v>45</v>
      </c>
      <c r="G297" s="46"/>
      <c r="H297" s="481">
        <f t="shared" si="9"/>
        <v>45</v>
      </c>
      <c r="I297" s="481"/>
      <c r="K297" s="38">
        <f t="shared" si="10"/>
        <v>0</v>
      </c>
      <c r="L297" s="44"/>
      <c r="M297" s="44"/>
    </row>
    <row r="298" spans="1:13" ht="15.75">
      <c r="A298" s="115"/>
      <c r="B298" s="157"/>
      <c r="C298" s="115"/>
      <c r="D298" s="54"/>
      <c r="E298" s="48" t="s">
        <v>20</v>
      </c>
      <c r="F298" s="15">
        <v>3</v>
      </c>
      <c r="G298" s="15"/>
      <c r="H298" s="481">
        <f t="shared" si="9"/>
        <v>3</v>
      </c>
      <c r="I298" s="481"/>
      <c r="J298" s="5">
        <v>990</v>
      </c>
      <c r="K298" s="38">
        <f t="shared" si="10"/>
        <v>2.97</v>
      </c>
      <c r="L298" s="44"/>
      <c r="M298" s="44"/>
    </row>
    <row r="299" spans="1:13" ht="15.75">
      <c r="A299" s="115"/>
      <c r="B299" s="157"/>
      <c r="C299" s="115"/>
      <c r="D299" s="54"/>
      <c r="E299" s="120"/>
      <c r="F299" s="481"/>
      <c r="G299" s="481"/>
      <c r="H299" s="481"/>
      <c r="I299" s="481"/>
      <c r="K299" s="38">
        <f t="shared" si="10"/>
        <v>0</v>
      </c>
      <c r="L299" s="44"/>
      <c r="M299" s="44"/>
    </row>
    <row r="300" spans="1:13" ht="15.75">
      <c r="A300" s="115"/>
      <c r="B300" s="157"/>
      <c r="C300" s="115"/>
      <c r="D300" s="54"/>
      <c r="E300" s="45" t="s">
        <v>74</v>
      </c>
      <c r="F300" s="478" t="s">
        <v>30</v>
      </c>
      <c r="G300" s="478"/>
      <c r="H300" s="482">
        <v>200</v>
      </c>
      <c r="I300" s="482"/>
      <c r="L300" s="44"/>
      <c r="M300" s="44"/>
    </row>
    <row r="301" spans="1:13" ht="15.75">
      <c r="A301" s="115"/>
      <c r="B301" s="157"/>
      <c r="C301" s="115"/>
      <c r="D301" s="54"/>
      <c r="E301" s="54"/>
      <c r="F301" s="54"/>
      <c r="G301" s="54"/>
      <c r="H301" s="54"/>
      <c r="I301" s="54"/>
      <c r="L301" s="44"/>
      <c r="M301" s="44"/>
    </row>
    <row r="302" spans="1:13" ht="15.75">
      <c r="A302" s="115"/>
      <c r="B302" s="157"/>
      <c r="C302" s="115"/>
      <c r="D302" s="54"/>
      <c r="E302" s="54"/>
      <c r="F302" s="54"/>
      <c r="G302" s="54"/>
      <c r="H302" s="54"/>
      <c r="I302" s="54"/>
      <c r="L302" s="44"/>
      <c r="M302" s="44"/>
    </row>
    <row r="303" spans="1:13" ht="15.75">
      <c r="A303" s="54"/>
      <c r="B303" s="169"/>
      <c r="C303" s="115" t="s">
        <v>68</v>
      </c>
      <c r="D303" s="54">
        <v>200</v>
      </c>
      <c r="E303" s="54"/>
      <c r="F303" s="480" t="s">
        <v>181</v>
      </c>
      <c r="G303" s="480"/>
      <c r="H303" s="480" t="s">
        <v>182</v>
      </c>
      <c r="I303" s="480"/>
      <c r="K303" s="184">
        <f>K304+K305</f>
        <v>1.5899999999999999</v>
      </c>
      <c r="L303" s="44"/>
      <c r="M303" s="44"/>
    </row>
    <row r="304" spans="1:13" ht="15.75">
      <c r="A304" s="54"/>
      <c r="B304" s="169"/>
      <c r="C304" s="115"/>
      <c r="D304" s="54"/>
      <c r="E304" s="120" t="s">
        <v>157</v>
      </c>
      <c r="F304" s="46">
        <v>0.6</v>
      </c>
      <c r="G304" s="46"/>
      <c r="H304" s="481">
        <v>0.6</v>
      </c>
      <c r="I304" s="481"/>
      <c r="J304" s="5">
        <v>650</v>
      </c>
      <c r="K304" s="38">
        <f>J304*F304/1000</f>
        <v>0.39</v>
      </c>
      <c r="L304" s="44"/>
      <c r="M304" s="44"/>
    </row>
    <row r="305" spans="1:13" ht="15.75">
      <c r="A305" s="54"/>
      <c r="B305" s="169"/>
      <c r="C305" s="115"/>
      <c r="D305" s="54"/>
      <c r="E305" s="48" t="s">
        <v>103</v>
      </c>
      <c r="F305" s="46">
        <v>15</v>
      </c>
      <c r="G305" s="46"/>
      <c r="H305" s="481">
        <v>15</v>
      </c>
      <c r="I305" s="481"/>
      <c r="J305" s="5">
        <v>80</v>
      </c>
      <c r="K305" s="38">
        <f>J305*F305/1000</f>
        <v>1.2</v>
      </c>
      <c r="L305" s="44"/>
      <c r="M305" s="44"/>
    </row>
    <row r="306" spans="1:13" ht="15.75">
      <c r="A306" s="54"/>
      <c r="B306" s="169"/>
      <c r="C306" s="115"/>
      <c r="D306" s="54"/>
      <c r="E306" s="45" t="s">
        <v>74</v>
      </c>
      <c r="F306" s="10" t="s">
        <v>30</v>
      </c>
      <c r="G306" s="10"/>
      <c r="H306" s="482">
        <v>200</v>
      </c>
      <c r="I306" s="482"/>
      <c r="L306" s="44"/>
      <c r="M306" s="44"/>
    </row>
    <row r="307" spans="1:13" ht="15.75">
      <c r="A307" s="115"/>
      <c r="B307" s="157"/>
      <c r="C307" s="115"/>
      <c r="D307" s="54"/>
      <c r="E307" s="54"/>
      <c r="F307" s="54"/>
      <c r="G307" s="54"/>
      <c r="H307" s="54"/>
      <c r="I307" s="54"/>
      <c r="L307" s="44"/>
      <c r="M307" s="44"/>
    </row>
    <row r="308" spans="1:13" ht="15.75">
      <c r="A308" s="159"/>
      <c r="B308" s="173"/>
      <c r="C308" s="160" t="s">
        <v>214</v>
      </c>
      <c r="D308" s="159">
        <v>40</v>
      </c>
      <c r="E308" s="159"/>
      <c r="F308" s="159"/>
      <c r="G308" s="159"/>
      <c r="H308" s="159"/>
      <c r="I308" s="159"/>
      <c r="J308" s="9">
        <v>65.5</v>
      </c>
      <c r="K308" s="188">
        <f>D308*J308/1000</f>
        <v>2.62</v>
      </c>
      <c r="L308" s="108"/>
      <c r="M308" s="108"/>
    </row>
    <row r="309" spans="1:13" s="161" customFormat="1">
      <c r="B309" s="174"/>
      <c r="D309" s="162"/>
      <c r="K309" s="174"/>
    </row>
    <row r="310" spans="1:13" s="161" customFormat="1">
      <c r="B310" s="174"/>
      <c r="D310" s="162"/>
      <c r="K310" s="174"/>
    </row>
    <row r="311" spans="1:13" s="161" customFormat="1">
      <c r="B311" s="174"/>
      <c r="D311" s="162"/>
      <c r="K311" s="174"/>
    </row>
    <row r="312" spans="1:13" s="161" customFormat="1">
      <c r="B312" s="174"/>
      <c r="D312" s="162"/>
      <c r="K312" s="174"/>
    </row>
    <row r="313" spans="1:13" s="161" customFormat="1">
      <c r="B313" s="174"/>
      <c r="D313" s="162"/>
      <c r="K313" s="174"/>
    </row>
    <row r="314" spans="1:13" s="161" customFormat="1">
      <c r="B314" s="174"/>
      <c r="D314" s="162"/>
      <c r="K314" s="174"/>
    </row>
    <row r="315" spans="1:13" s="161" customFormat="1">
      <c r="B315" s="174"/>
      <c r="D315" s="162"/>
      <c r="K315" s="174"/>
    </row>
    <row r="316" spans="1:13" s="161" customFormat="1">
      <c r="B316" s="174"/>
      <c r="D316" s="162"/>
      <c r="K316" s="174"/>
    </row>
    <row r="317" spans="1:13" s="161" customFormat="1">
      <c r="B317" s="174"/>
      <c r="D317" s="162"/>
      <c r="K317" s="174"/>
    </row>
    <row r="318" spans="1:13" s="161" customFormat="1">
      <c r="B318" s="174"/>
      <c r="D318" s="162"/>
      <c r="K318" s="174"/>
    </row>
    <row r="319" spans="1:13" s="161" customFormat="1">
      <c r="B319" s="174"/>
      <c r="D319" s="162"/>
      <c r="K319" s="174"/>
    </row>
    <row r="320" spans="1:13" s="161" customFormat="1">
      <c r="B320" s="174"/>
      <c r="D320" s="162"/>
      <c r="K320" s="174"/>
    </row>
    <row r="321" spans="2:11" s="161" customFormat="1">
      <c r="B321" s="174"/>
      <c r="D321" s="162"/>
      <c r="K321" s="174"/>
    </row>
    <row r="322" spans="2:11" s="161" customFormat="1">
      <c r="B322" s="174"/>
      <c r="D322" s="162"/>
      <c r="K322" s="174"/>
    </row>
    <row r="323" spans="2:11" s="161" customFormat="1">
      <c r="B323" s="174"/>
      <c r="D323" s="162"/>
      <c r="K323" s="174"/>
    </row>
    <row r="324" spans="2:11" s="161" customFormat="1">
      <c r="B324" s="174"/>
      <c r="D324" s="162"/>
      <c r="K324" s="174"/>
    </row>
    <row r="325" spans="2:11" s="161" customFormat="1">
      <c r="B325" s="174"/>
      <c r="D325" s="162"/>
      <c r="K325" s="174"/>
    </row>
    <row r="326" spans="2:11" s="161" customFormat="1">
      <c r="B326" s="174"/>
      <c r="D326" s="162"/>
      <c r="K326" s="174"/>
    </row>
    <row r="327" spans="2:11" s="161" customFormat="1">
      <c r="B327" s="174"/>
      <c r="D327" s="162"/>
      <c r="K327" s="174"/>
    </row>
    <row r="328" spans="2:11" s="161" customFormat="1">
      <c r="B328" s="174"/>
      <c r="D328" s="162"/>
      <c r="K328" s="174"/>
    </row>
    <row r="329" spans="2:11" s="161" customFormat="1">
      <c r="B329" s="174"/>
      <c r="D329" s="162"/>
      <c r="K329" s="174"/>
    </row>
    <row r="330" spans="2:11" s="161" customFormat="1">
      <c r="B330" s="174"/>
      <c r="D330" s="162"/>
      <c r="K330" s="174"/>
    </row>
    <row r="331" spans="2:11" s="161" customFormat="1">
      <c r="B331" s="174"/>
      <c r="D331" s="162"/>
      <c r="K331" s="174"/>
    </row>
    <row r="332" spans="2:11" s="161" customFormat="1">
      <c r="B332" s="174"/>
      <c r="D332" s="162"/>
      <c r="K332" s="174"/>
    </row>
    <row r="333" spans="2:11" s="161" customFormat="1">
      <c r="B333" s="174"/>
      <c r="D333" s="162"/>
      <c r="K333" s="174"/>
    </row>
    <row r="334" spans="2:11" s="161" customFormat="1">
      <c r="B334" s="174"/>
      <c r="D334" s="162"/>
      <c r="K334" s="174"/>
    </row>
    <row r="335" spans="2:11" s="161" customFormat="1">
      <c r="B335" s="174"/>
      <c r="D335" s="162"/>
      <c r="K335" s="174"/>
    </row>
    <row r="336" spans="2:11" s="161" customFormat="1">
      <c r="B336" s="174"/>
      <c r="D336" s="162"/>
      <c r="K336" s="174"/>
    </row>
    <row r="337" spans="2:11" s="161" customFormat="1">
      <c r="B337" s="174"/>
      <c r="D337" s="162"/>
      <c r="K337" s="174"/>
    </row>
    <row r="338" spans="2:11" s="161" customFormat="1">
      <c r="B338" s="174"/>
      <c r="D338" s="162"/>
      <c r="K338" s="174"/>
    </row>
    <row r="339" spans="2:11" s="161" customFormat="1">
      <c r="B339" s="174"/>
      <c r="D339" s="162"/>
      <c r="K339" s="174"/>
    </row>
    <row r="340" spans="2:11" s="161" customFormat="1">
      <c r="B340" s="174"/>
      <c r="D340" s="162"/>
      <c r="K340" s="174"/>
    </row>
    <row r="341" spans="2:11" s="161" customFormat="1">
      <c r="B341" s="174"/>
      <c r="D341" s="162"/>
      <c r="K341" s="174"/>
    </row>
    <row r="342" spans="2:11" s="161" customFormat="1">
      <c r="B342" s="174"/>
      <c r="D342" s="162"/>
      <c r="K342" s="174"/>
    </row>
    <row r="343" spans="2:11" s="161" customFormat="1">
      <c r="B343" s="174"/>
      <c r="D343" s="162"/>
      <c r="K343" s="174"/>
    </row>
    <row r="344" spans="2:11" s="161" customFormat="1">
      <c r="B344" s="174"/>
      <c r="D344" s="162"/>
      <c r="K344" s="174"/>
    </row>
    <row r="345" spans="2:11" s="161" customFormat="1">
      <c r="B345" s="174"/>
      <c r="D345" s="162"/>
      <c r="K345" s="174"/>
    </row>
    <row r="346" spans="2:11" s="161" customFormat="1">
      <c r="B346" s="174"/>
      <c r="D346" s="162"/>
      <c r="K346" s="174"/>
    </row>
    <row r="347" spans="2:11" s="161" customFormat="1">
      <c r="B347" s="174"/>
      <c r="D347" s="162"/>
      <c r="K347" s="174"/>
    </row>
    <row r="348" spans="2:11" s="161" customFormat="1">
      <c r="B348" s="174"/>
      <c r="D348" s="162"/>
      <c r="K348" s="174"/>
    </row>
    <row r="349" spans="2:11" s="161" customFormat="1">
      <c r="B349" s="174"/>
      <c r="D349" s="162"/>
      <c r="K349" s="174"/>
    </row>
    <row r="350" spans="2:11" s="161" customFormat="1">
      <c r="B350" s="174"/>
      <c r="D350" s="162"/>
      <c r="K350" s="174"/>
    </row>
    <row r="351" spans="2:11" s="161" customFormat="1">
      <c r="B351" s="174"/>
      <c r="D351" s="162"/>
      <c r="K351" s="174"/>
    </row>
    <row r="352" spans="2:11" s="161" customFormat="1">
      <c r="B352" s="174"/>
      <c r="D352" s="162"/>
      <c r="K352" s="174"/>
    </row>
    <row r="353" spans="2:11" s="161" customFormat="1">
      <c r="B353" s="174"/>
      <c r="D353" s="162"/>
      <c r="K353" s="174"/>
    </row>
    <row r="354" spans="2:11" s="161" customFormat="1">
      <c r="B354" s="174"/>
      <c r="D354" s="162"/>
      <c r="K354" s="174"/>
    </row>
    <row r="355" spans="2:11" s="161" customFormat="1">
      <c r="B355" s="174"/>
      <c r="D355" s="162"/>
      <c r="K355" s="174"/>
    </row>
    <row r="356" spans="2:11" s="161" customFormat="1">
      <c r="B356" s="174"/>
      <c r="D356" s="162"/>
      <c r="K356" s="174"/>
    </row>
    <row r="357" spans="2:11" s="161" customFormat="1">
      <c r="B357" s="174"/>
      <c r="D357" s="162"/>
      <c r="K357" s="174"/>
    </row>
    <row r="358" spans="2:11" s="161" customFormat="1">
      <c r="B358" s="174"/>
      <c r="D358" s="162"/>
      <c r="K358" s="174"/>
    </row>
    <row r="359" spans="2:11" s="161" customFormat="1">
      <c r="B359" s="174"/>
      <c r="D359" s="162"/>
      <c r="K359" s="174"/>
    </row>
    <row r="360" spans="2:11" s="161" customFormat="1">
      <c r="B360" s="174"/>
      <c r="D360" s="162"/>
      <c r="K360" s="174"/>
    </row>
    <row r="361" spans="2:11" s="161" customFormat="1">
      <c r="B361" s="174"/>
      <c r="D361" s="162"/>
      <c r="K361" s="174"/>
    </row>
    <row r="362" spans="2:11" s="161" customFormat="1">
      <c r="B362" s="174"/>
      <c r="D362" s="162"/>
      <c r="K362" s="174"/>
    </row>
    <row r="363" spans="2:11" s="161" customFormat="1">
      <c r="B363" s="174"/>
      <c r="D363" s="162"/>
      <c r="K363" s="174"/>
    </row>
    <row r="364" spans="2:11" s="161" customFormat="1">
      <c r="B364" s="174"/>
      <c r="D364" s="162"/>
      <c r="K364" s="174"/>
    </row>
    <row r="365" spans="2:11" s="161" customFormat="1">
      <c r="B365" s="174"/>
      <c r="D365" s="162"/>
      <c r="K365" s="174"/>
    </row>
    <row r="366" spans="2:11" s="161" customFormat="1">
      <c r="B366" s="174"/>
      <c r="D366" s="162"/>
      <c r="K366" s="174"/>
    </row>
    <row r="367" spans="2:11" s="161" customFormat="1">
      <c r="B367" s="174"/>
      <c r="D367" s="162"/>
      <c r="K367" s="174"/>
    </row>
    <row r="368" spans="2:11" s="161" customFormat="1">
      <c r="B368" s="174"/>
      <c r="D368" s="162"/>
      <c r="K368" s="174"/>
    </row>
    <row r="369" spans="2:11" s="161" customFormat="1">
      <c r="B369" s="174"/>
      <c r="D369" s="162"/>
      <c r="K369" s="174"/>
    </row>
    <row r="370" spans="2:11" s="161" customFormat="1">
      <c r="B370" s="174"/>
      <c r="D370" s="162"/>
      <c r="K370" s="174"/>
    </row>
    <row r="371" spans="2:11" s="161" customFormat="1">
      <c r="B371" s="174"/>
      <c r="D371" s="162"/>
      <c r="K371" s="174"/>
    </row>
    <row r="372" spans="2:11" s="161" customFormat="1">
      <c r="B372" s="174"/>
      <c r="D372" s="162"/>
      <c r="K372" s="174"/>
    </row>
    <row r="373" spans="2:11" s="161" customFormat="1">
      <c r="B373" s="174"/>
      <c r="D373" s="162"/>
      <c r="K373" s="174"/>
    </row>
    <row r="374" spans="2:11" s="161" customFormat="1">
      <c r="B374" s="174"/>
      <c r="D374" s="162"/>
      <c r="K374" s="174"/>
    </row>
    <row r="375" spans="2:11" s="161" customFormat="1">
      <c r="B375" s="174"/>
      <c r="D375" s="162"/>
      <c r="K375" s="174"/>
    </row>
    <row r="376" spans="2:11" s="161" customFormat="1">
      <c r="B376" s="174"/>
      <c r="D376" s="162"/>
      <c r="K376" s="174"/>
    </row>
    <row r="377" spans="2:11" s="161" customFormat="1">
      <c r="B377" s="174"/>
      <c r="D377" s="162"/>
      <c r="K377" s="174"/>
    </row>
    <row r="378" spans="2:11" s="161" customFormat="1">
      <c r="B378" s="174"/>
      <c r="D378" s="162"/>
      <c r="K378" s="174"/>
    </row>
    <row r="379" spans="2:11" s="161" customFormat="1">
      <c r="B379" s="174"/>
      <c r="D379" s="162"/>
      <c r="K379" s="174"/>
    </row>
    <row r="380" spans="2:11" s="161" customFormat="1">
      <c r="B380" s="174"/>
      <c r="D380" s="162"/>
      <c r="K380" s="174"/>
    </row>
    <row r="381" spans="2:11" s="161" customFormat="1">
      <c r="B381" s="174"/>
      <c r="D381" s="162"/>
      <c r="K381" s="174"/>
    </row>
    <row r="382" spans="2:11" s="161" customFormat="1">
      <c r="B382" s="174"/>
      <c r="D382" s="162"/>
      <c r="K382" s="174"/>
    </row>
    <row r="383" spans="2:11" s="161" customFormat="1">
      <c r="B383" s="174"/>
      <c r="D383" s="162"/>
      <c r="K383" s="174"/>
    </row>
    <row r="384" spans="2:11" s="161" customFormat="1">
      <c r="B384" s="174"/>
      <c r="D384" s="162"/>
      <c r="K384" s="174"/>
    </row>
    <row r="385" spans="2:11" s="161" customFormat="1">
      <c r="B385" s="174"/>
      <c r="D385" s="162"/>
      <c r="K385" s="174"/>
    </row>
    <row r="386" spans="2:11" s="161" customFormat="1">
      <c r="B386" s="174"/>
      <c r="D386" s="162"/>
      <c r="K386" s="174"/>
    </row>
    <row r="387" spans="2:11" s="161" customFormat="1">
      <c r="B387" s="174"/>
      <c r="D387" s="162"/>
      <c r="K387" s="174"/>
    </row>
    <row r="388" spans="2:11" s="161" customFormat="1">
      <c r="B388" s="174"/>
      <c r="D388" s="162"/>
      <c r="K388" s="174"/>
    </row>
    <row r="389" spans="2:11" s="161" customFormat="1">
      <c r="B389" s="174"/>
      <c r="D389" s="162"/>
      <c r="K389" s="174"/>
    </row>
    <row r="390" spans="2:11" s="161" customFormat="1">
      <c r="B390" s="174"/>
      <c r="D390" s="162"/>
      <c r="K390" s="174"/>
    </row>
    <row r="391" spans="2:11" s="161" customFormat="1">
      <c r="B391" s="174"/>
      <c r="D391" s="162"/>
      <c r="K391" s="174"/>
    </row>
    <row r="392" spans="2:11" s="161" customFormat="1">
      <c r="B392" s="174"/>
      <c r="D392" s="162"/>
      <c r="K392" s="174"/>
    </row>
    <row r="393" spans="2:11" s="161" customFormat="1">
      <c r="B393" s="174"/>
      <c r="D393" s="162"/>
      <c r="K393" s="174"/>
    </row>
    <row r="394" spans="2:11" s="161" customFormat="1">
      <c r="B394" s="174"/>
      <c r="D394" s="162"/>
      <c r="K394" s="174"/>
    </row>
    <row r="395" spans="2:11" s="161" customFormat="1">
      <c r="B395" s="174"/>
      <c r="D395" s="162"/>
      <c r="K395" s="174"/>
    </row>
    <row r="396" spans="2:11" s="161" customFormat="1">
      <c r="B396" s="174"/>
      <c r="D396" s="162"/>
      <c r="K396" s="174"/>
    </row>
    <row r="397" spans="2:11" s="161" customFormat="1">
      <c r="B397" s="174"/>
      <c r="D397" s="162"/>
      <c r="K397" s="174"/>
    </row>
    <row r="398" spans="2:11" s="161" customFormat="1">
      <c r="B398" s="174"/>
      <c r="D398" s="162"/>
      <c r="K398" s="174"/>
    </row>
    <row r="399" spans="2:11" s="161" customFormat="1">
      <c r="B399" s="174"/>
      <c r="D399" s="162"/>
      <c r="K399" s="174"/>
    </row>
    <row r="400" spans="2:11" s="161" customFormat="1">
      <c r="B400" s="174"/>
      <c r="D400" s="162"/>
      <c r="K400" s="174"/>
    </row>
    <row r="401" spans="2:11" s="161" customFormat="1">
      <c r="B401" s="174"/>
      <c r="D401" s="162"/>
      <c r="K401" s="174"/>
    </row>
    <row r="402" spans="2:11" s="161" customFormat="1">
      <c r="B402" s="174"/>
      <c r="D402" s="162"/>
      <c r="K402" s="174"/>
    </row>
    <row r="403" spans="2:11" s="161" customFormat="1">
      <c r="B403" s="174"/>
      <c r="D403" s="162"/>
      <c r="K403" s="174"/>
    </row>
    <row r="404" spans="2:11" s="161" customFormat="1">
      <c r="B404" s="174"/>
      <c r="D404" s="162"/>
      <c r="K404" s="174"/>
    </row>
    <row r="405" spans="2:11" s="161" customFormat="1">
      <c r="B405" s="174"/>
      <c r="D405" s="162"/>
      <c r="K405" s="174"/>
    </row>
    <row r="406" spans="2:11" s="161" customFormat="1">
      <c r="B406" s="174"/>
      <c r="D406" s="162"/>
      <c r="K406" s="174"/>
    </row>
    <row r="407" spans="2:11" s="161" customFormat="1">
      <c r="B407" s="174"/>
      <c r="D407" s="162"/>
      <c r="K407" s="174"/>
    </row>
    <row r="408" spans="2:11" s="161" customFormat="1">
      <c r="B408" s="174"/>
      <c r="D408" s="162"/>
      <c r="K408" s="174"/>
    </row>
    <row r="409" spans="2:11" s="161" customFormat="1">
      <c r="B409" s="174"/>
      <c r="D409" s="162"/>
      <c r="K409" s="174"/>
    </row>
    <row r="410" spans="2:11" s="161" customFormat="1">
      <c r="B410" s="174"/>
      <c r="D410" s="162"/>
      <c r="K410" s="174"/>
    </row>
    <row r="411" spans="2:11" s="161" customFormat="1">
      <c r="B411" s="174"/>
      <c r="D411" s="162"/>
      <c r="K411" s="174"/>
    </row>
    <row r="412" spans="2:11" s="161" customFormat="1">
      <c r="B412" s="174"/>
      <c r="D412" s="162"/>
      <c r="K412" s="174"/>
    </row>
    <row r="413" spans="2:11" s="161" customFormat="1">
      <c r="B413" s="174"/>
      <c r="D413" s="162"/>
      <c r="K413" s="174"/>
    </row>
    <row r="414" spans="2:11" s="161" customFormat="1">
      <c r="B414" s="174"/>
      <c r="D414" s="162"/>
      <c r="K414" s="174"/>
    </row>
    <row r="415" spans="2:11" s="161" customFormat="1">
      <c r="B415" s="174"/>
      <c r="D415" s="162"/>
      <c r="K415" s="174"/>
    </row>
    <row r="416" spans="2:11" s="161" customFormat="1">
      <c r="B416" s="174"/>
      <c r="D416" s="162"/>
      <c r="K416" s="174"/>
    </row>
    <row r="417" spans="2:11" s="161" customFormat="1">
      <c r="B417" s="174"/>
      <c r="D417" s="162"/>
      <c r="K417" s="174"/>
    </row>
    <row r="418" spans="2:11" s="161" customFormat="1">
      <c r="B418" s="174"/>
      <c r="D418" s="162"/>
      <c r="K418" s="174"/>
    </row>
    <row r="419" spans="2:11" s="161" customFormat="1">
      <c r="B419" s="174"/>
      <c r="D419" s="162"/>
      <c r="K419" s="174"/>
    </row>
    <row r="420" spans="2:11" s="161" customFormat="1">
      <c r="B420" s="174"/>
      <c r="D420" s="162"/>
      <c r="K420" s="174"/>
    </row>
    <row r="421" spans="2:11" s="161" customFormat="1">
      <c r="B421" s="174"/>
      <c r="D421" s="162"/>
      <c r="K421" s="174"/>
    </row>
    <row r="422" spans="2:11" s="161" customFormat="1">
      <c r="B422" s="174"/>
      <c r="D422" s="162"/>
      <c r="K422" s="174"/>
    </row>
    <row r="423" spans="2:11" s="161" customFormat="1">
      <c r="B423" s="174"/>
      <c r="D423" s="162"/>
      <c r="K423" s="174"/>
    </row>
    <row r="424" spans="2:11" s="161" customFormat="1">
      <c r="B424" s="174"/>
      <c r="D424" s="162"/>
      <c r="K424" s="174"/>
    </row>
    <row r="425" spans="2:11" s="161" customFormat="1">
      <c r="B425" s="174"/>
      <c r="D425" s="162"/>
      <c r="K425" s="174"/>
    </row>
    <row r="426" spans="2:11" s="161" customFormat="1">
      <c r="B426" s="174"/>
      <c r="D426" s="162"/>
      <c r="K426" s="174"/>
    </row>
    <row r="427" spans="2:11" s="161" customFormat="1">
      <c r="B427" s="174"/>
      <c r="D427" s="162"/>
      <c r="K427" s="174"/>
    </row>
    <row r="428" spans="2:11" s="161" customFormat="1">
      <c r="B428" s="174"/>
      <c r="D428" s="162"/>
      <c r="K428" s="174"/>
    </row>
    <row r="429" spans="2:11" s="161" customFormat="1">
      <c r="B429" s="174"/>
      <c r="D429" s="162"/>
      <c r="K429" s="174"/>
    </row>
    <row r="430" spans="2:11" s="161" customFormat="1">
      <c r="B430" s="174"/>
      <c r="D430" s="162"/>
      <c r="K430" s="174"/>
    </row>
    <row r="431" spans="2:11" s="161" customFormat="1">
      <c r="B431" s="174"/>
      <c r="D431" s="162"/>
      <c r="K431" s="174"/>
    </row>
    <row r="432" spans="2:11" s="161" customFormat="1">
      <c r="B432" s="174"/>
      <c r="D432" s="162"/>
      <c r="K432" s="174"/>
    </row>
    <row r="433" spans="2:11" s="161" customFormat="1">
      <c r="B433" s="174"/>
      <c r="D433" s="162"/>
      <c r="K433" s="174"/>
    </row>
    <row r="434" spans="2:11" s="161" customFormat="1">
      <c r="B434" s="174"/>
      <c r="D434" s="162"/>
      <c r="K434" s="174"/>
    </row>
    <row r="435" spans="2:11" s="161" customFormat="1">
      <c r="B435" s="174"/>
      <c r="D435" s="162"/>
      <c r="K435" s="174"/>
    </row>
    <row r="436" spans="2:11" s="161" customFormat="1">
      <c r="B436" s="174"/>
      <c r="D436" s="162"/>
      <c r="K436" s="174"/>
    </row>
    <row r="437" spans="2:11" s="161" customFormat="1">
      <c r="B437" s="174"/>
      <c r="D437" s="162"/>
      <c r="K437" s="174"/>
    </row>
    <row r="438" spans="2:11" s="161" customFormat="1">
      <c r="B438" s="174"/>
      <c r="D438" s="162"/>
      <c r="K438" s="174"/>
    </row>
    <row r="439" spans="2:11" s="161" customFormat="1">
      <c r="B439" s="174"/>
      <c r="D439" s="162"/>
      <c r="K439" s="174"/>
    </row>
    <row r="440" spans="2:11" s="161" customFormat="1">
      <c r="B440" s="174"/>
      <c r="D440" s="162"/>
      <c r="K440" s="174"/>
    </row>
    <row r="441" spans="2:11" s="161" customFormat="1">
      <c r="B441" s="174"/>
      <c r="D441" s="162"/>
      <c r="K441" s="174"/>
    </row>
    <row r="442" spans="2:11" s="161" customFormat="1">
      <c r="B442" s="174"/>
      <c r="D442" s="162"/>
      <c r="K442" s="174"/>
    </row>
    <row r="443" spans="2:11" s="161" customFormat="1">
      <c r="B443" s="174"/>
      <c r="D443" s="162"/>
      <c r="K443" s="174"/>
    </row>
    <row r="444" spans="2:11" s="161" customFormat="1">
      <c r="B444" s="174"/>
      <c r="D444" s="162"/>
      <c r="K444" s="174"/>
    </row>
    <row r="445" spans="2:11" s="161" customFormat="1">
      <c r="B445" s="174"/>
      <c r="D445" s="162"/>
      <c r="K445" s="174"/>
    </row>
    <row r="446" spans="2:11" s="161" customFormat="1">
      <c r="B446" s="174"/>
      <c r="D446" s="162"/>
      <c r="K446" s="174"/>
    </row>
    <row r="447" spans="2:11" s="161" customFormat="1">
      <c r="B447" s="174"/>
      <c r="D447" s="162"/>
      <c r="K447" s="174"/>
    </row>
    <row r="448" spans="2:11" s="161" customFormat="1">
      <c r="B448" s="174"/>
      <c r="D448" s="162"/>
      <c r="K448" s="174"/>
    </row>
    <row r="449" spans="2:11" s="161" customFormat="1">
      <c r="B449" s="174"/>
      <c r="D449" s="162"/>
      <c r="K449" s="174"/>
    </row>
    <row r="450" spans="2:11" s="161" customFormat="1">
      <c r="B450" s="174"/>
      <c r="D450" s="162"/>
      <c r="K450" s="174"/>
    </row>
    <row r="451" spans="2:11" s="161" customFormat="1">
      <c r="B451" s="174"/>
      <c r="D451" s="162"/>
      <c r="K451" s="174"/>
    </row>
    <row r="452" spans="2:11" s="161" customFormat="1">
      <c r="B452" s="174"/>
      <c r="D452" s="162"/>
      <c r="K452" s="174"/>
    </row>
    <row r="453" spans="2:11" s="161" customFormat="1">
      <c r="B453" s="174"/>
      <c r="D453" s="162"/>
      <c r="K453" s="174"/>
    </row>
    <row r="454" spans="2:11" s="161" customFormat="1">
      <c r="B454" s="174"/>
      <c r="D454" s="162"/>
      <c r="K454" s="174"/>
    </row>
    <row r="455" spans="2:11" s="161" customFormat="1">
      <c r="B455" s="174"/>
      <c r="D455" s="162"/>
      <c r="K455" s="174"/>
    </row>
    <row r="456" spans="2:11" s="161" customFormat="1">
      <c r="B456" s="174"/>
      <c r="D456" s="162"/>
      <c r="K456" s="174"/>
    </row>
    <row r="457" spans="2:11" s="161" customFormat="1">
      <c r="B457" s="174"/>
      <c r="D457" s="162"/>
      <c r="K457" s="174"/>
    </row>
    <row r="458" spans="2:11" s="161" customFormat="1">
      <c r="B458" s="174"/>
      <c r="D458" s="162"/>
      <c r="K458" s="174"/>
    </row>
    <row r="459" spans="2:11" s="161" customFormat="1">
      <c r="B459" s="174"/>
      <c r="D459" s="162"/>
      <c r="K459" s="174"/>
    </row>
    <row r="460" spans="2:11" s="161" customFormat="1">
      <c r="B460" s="174"/>
      <c r="D460" s="162"/>
      <c r="K460" s="174"/>
    </row>
    <row r="461" spans="2:11" s="161" customFormat="1">
      <c r="B461" s="174"/>
      <c r="D461" s="162"/>
      <c r="K461" s="174"/>
    </row>
    <row r="462" spans="2:11" s="161" customFormat="1">
      <c r="B462" s="174"/>
      <c r="D462" s="162"/>
      <c r="K462" s="174"/>
    </row>
    <row r="463" spans="2:11" s="161" customFormat="1">
      <c r="B463" s="174"/>
      <c r="D463" s="162"/>
      <c r="K463" s="174"/>
    </row>
    <row r="464" spans="2:11" s="161" customFormat="1">
      <c r="B464" s="174"/>
      <c r="D464" s="162"/>
      <c r="K464" s="174"/>
    </row>
    <row r="465" spans="2:11" s="161" customFormat="1">
      <c r="B465" s="174"/>
      <c r="D465" s="162"/>
      <c r="K465" s="174"/>
    </row>
    <row r="466" spans="2:11" s="161" customFormat="1">
      <c r="B466" s="174"/>
      <c r="D466" s="162"/>
      <c r="K466" s="174"/>
    </row>
    <row r="467" spans="2:11" s="161" customFormat="1">
      <c r="B467" s="174"/>
      <c r="D467" s="162"/>
      <c r="K467" s="174"/>
    </row>
    <row r="468" spans="2:11" s="161" customFormat="1">
      <c r="B468" s="174"/>
      <c r="D468" s="162"/>
      <c r="K468" s="174"/>
    </row>
    <row r="469" spans="2:11" s="161" customFormat="1">
      <c r="B469" s="174"/>
      <c r="D469" s="162"/>
      <c r="K469" s="174"/>
    </row>
    <row r="470" spans="2:11" s="161" customFormat="1">
      <c r="B470" s="174"/>
      <c r="D470" s="162"/>
      <c r="K470" s="174"/>
    </row>
    <row r="471" spans="2:11" s="161" customFormat="1">
      <c r="B471" s="174"/>
      <c r="D471" s="162"/>
      <c r="K471" s="174"/>
    </row>
    <row r="472" spans="2:11" s="161" customFormat="1">
      <c r="B472" s="174"/>
      <c r="D472" s="162"/>
      <c r="K472" s="174"/>
    </row>
    <row r="473" spans="2:11" s="161" customFormat="1">
      <c r="B473" s="174"/>
      <c r="D473" s="162"/>
      <c r="K473" s="174"/>
    </row>
    <row r="474" spans="2:11" s="161" customFormat="1">
      <c r="B474" s="174"/>
      <c r="D474" s="162"/>
      <c r="K474" s="174"/>
    </row>
    <row r="475" spans="2:11" s="161" customFormat="1">
      <c r="B475" s="174"/>
      <c r="D475" s="162"/>
      <c r="K475" s="174"/>
    </row>
    <row r="476" spans="2:11" s="161" customFormat="1">
      <c r="B476" s="174"/>
      <c r="D476" s="162"/>
      <c r="K476" s="174"/>
    </row>
    <row r="477" spans="2:11" s="161" customFormat="1">
      <c r="B477" s="174"/>
      <c r="D477" s="162"/>
      <c r="K477" s="174"/>
    </row>
    <row r="478" spans="2:11" s="161" customFormat="1">
      <c r="B478" s="174"/>
      <c r="D478" s="162"/>
      <c r="K478" s="174"/>
    </row>
    <row r="479" spans="2:11" s="161" customFormat="1">
      <c r="B479" s="174"/>
      <c r="D479" s="162"/>
      <c r="K479" s="174"/>
    </row>
    <row r="480" spans="2:11" s="161" customFormat="1">
      <c r="B480" s="174"/>
      <c r="D480" s="162"/>
      <c r="K480" s="174"/>
    </row>
    <row r="481" spans="2:11" s="161" customFormat="1">
      <c r="B481" s="174"/>
      <c r="D481" s="162"/>
      <c r="K481" s="174"/>
    </row>
    <row r="482" spans="2:11" s="161" customFormat="1">
      <c r="B482" s="174"/>
      <c r="D482" s="162"/>
      <c r="K482" s="174"/>
    </row>
    <row r="483" spans="2:11" s="161" customFormat="1">
      <c r="B483" s="174"/>
      <c r="D483" s="162"/>
      <c r="K483" s="174"/>
    </row>
    <row r="484" spans="2:11" s="161" customFormat="1">
      <c r="B484" s="174"/>
      <c r="D484" s="162"/>
      <c r="K484" s="174"/>
    </row>
    <row r="485" spans="2:11" s="161" customFormat="1">
      <c r="B485" s="174"/>
      <c r="D485" s="162"/>
      <c r="K485" s="174"/>
    </row>
    <row r="486" spans="2:11" s="161" customFormat="1">
      <c r="B486" s="174"/>
      <c r="D486" s="162"/>
      <c r="K486" s="174"/>
    </row>
    <row r="487" spans="2:11" s="161" customFormat="1">
      <c r="B487" s="174"/>
      <c r="D487" s="162"/>
      <c r="K487" s="174"/>
    </row>
    <row r="488" spans="2:11" s="161" customFormat="1">
      <c r="B488" s="174"/>
      <c r="D488" s="162"/>
      <c r="K488" s="174"/>
    </row>
    <row r="489" spans="2:11" s="161" customFormat="1">
      <c r="B489" s="174"/>
      <c r="D489" s="162"/>
      <c r="K489" s="174"/>
    </row>
    <row r="490" spans="2:11" s="161" customFormat="1">
      <c r="B490" s="174"/>
      <c r="D490" s="162"/>
      <c r="K490" s="174"/>
    </row>
    <row r="491" spans="2:11" s="161" customFormat="1">
      <c r="B491" s="174"/>
      <c r="D491" s="162"/>
      <c r="K491" s="174"/>
    </row>
    <row r="492" spans="2:11" s="161" customFormat="1">
      <c r="B492" s="174"/>
      <c r="D492" s="162"/>
      <c r="K492" s="174"/>
    </row>
    <row r="493" spans="2:11" s="161" customFormat="1">
      <c r="B493" s="174"/>
      <c r="D493" s="162"/>
      <c r="K493" s="174"/>
    </row>
    <row r="494" spans="2:11" s="161" customFormat="1">
      <c r="B494" s="174"/>
      <c r="D494" s="162"/>
      <c r="K494" s="174"/>
    </row>
    <row r="495" spans="2:11" s="161" customFormat="1">
      <c r="B495" s="174"/>
      <c r="D495" s="162"/>
      <c r="K495" s="174"/>
    </row>
    <row r="496" spans="2:11" s="161" customFormat="1">
      <c r="B496" s="174"/>
      <c r="D496" s="162"/>
      <c r="K496" s="174"/>
    </row>
    <row r="497" spans="2:11" s="161" customFormat="1">
      <c r="B497" s="174"/>
      <c r="D497" s="162"/>
      <c r="K497" s="174"/>
    </row>
    <row r="498" spans="2:11" s="161" customFormat="1">
      <c r="B498" s="174"/>
      <c r="D498" s="162"/>
      <c r="K498" s="174"/>
    </row>
    <row r="499" spans="2:11" s="161" customFormat="1">
      <c r="B499" s="174"/>
      <c r="D499" s="162"/>
      <c r="K499" s="174"/>
    </row>
    <row r="500" spans="2:11" s="161" customFormat="1">
      <c r="B500" s="174"/>
      <c r="D500" s="162"/>
      <c r="K500" s="174"/>
    </row>
    <row r="501" spans="2:11" s="161" customFormat="1">
      <c r="B501" s="174"/>
      <c r="D501" s="162"/>
      <c r="K501" s="174"/>
    </row>
    <row r="502" spans="2:11" s="161" customFormat="1">
      <c r="B502" s="174"/>
      <c r="D502" s="162"/>
      <c r="K502" s="174"/>
    </row>
    <row r="503" spans="2:11" s="161" customFormat="1">
      <c r="B503" s="174"/>
      <c r="D503" s="162"/>
      <c r="K503" s="174"/>
    </row>
    <row r="504" spans="2:11" s="161" customFormat="1">
      <c r="B504" s="174"/>
      <c r="D504" s="162"/>
      <c r="K504" s="174"/>
    </row>
    <row r="505" spans="2:11" s="161" customFormat="1">
      <c r="B505" s="174"/>
      <c r="D505" s="162"/>
      <c r="K505" s="174"/>
    </row>
    <row r="506" spans="2:11" s="161" customFormat="1">
      <c r="B506" s="174"/>
      <c r="D506" s="162"/>
      <c r="K506" s="174"/>
    </row>
    <row r="507" spans="2:11" s="161" customFormat="1">
      <c r="B507" s="174"/>
      <c r="D507" s="162"/>
      <c r="K507" s="174"/>
    </row>
    <row r="508" spans="2:11" s="161" customFormat="1">
      <c r="B508" s="174"/>
      <c r="D508" s="162"/>
      <c r="K508" s="174"/>
    </row>
    <row r="509" spans="2:11" s="161" customFormat="1">
      <c r="B509" s="174"/>
      <c r="D509" s="162"/>
      <c r="K509" s="174"/>
    </row>
    <row r="510" spans="2:11" s="161" customFormat="1">
      <c r="B510" s="174"/>
      <c r="D510" s="162"/>
      <c r="K510" s="174"/>
    </row>
    <row r="511" spans="2:11" s="161" customFormat="1">
      <c r="B511" s="174"/>
      <c r="D511" s="162"/>
      <c r="K511" s="174"/>
    </row>
    <row r="512" spans="2:11" s="161" customFormat="1">
      <c r="B512" s="174"/>
      <c r="D512" s="162"/>
      <c r="K512" s="174"/>
    </row>
    <row r="513" spans="2:11" s="161" customFormat="1">
      <c r="B513" s="174"/>
      <c r="D513" s="162"/>
      <c r="K513" s="174"/>
    </row>
    <row r="514" spans="2:11" s="161" customFormat="1">
      <c r="B514" s="174"/>
      <c r="D514" s="162"/>
      <c r="K514" s="174"/>
    </row>
    <row r="515" spans="2:11" s="161" customFormat="1">
      <c r="B515" s="174"/>
      <c r="D515" s="162"/>
      <c r="K515" s="174"/>
    </row>
    <row r="516" spans="2:11" s="161" customFormat="1">
      <c r="B516" s="174"/>
      <c r="D516" s="162"/>
      <c r="K516" s="174"/>
    </row>
    <row r="517" spans="2:11" s="161" customFormat="1">
      <c r="B517" s="174"/>
      <c r="D517" s="162"/>
      <c r="K517" s="174"/>
    </row>
    <row r="518" spans="2:11" s="161" customFormat="1">
      <c r="B518" s="174"/>
      <c r="D518" s="162"/>
      <c r="K518" s="174"/>
    </row>
    <row r="519" spans="2:11" s="161" customFormat="1">
      <c r="B519" s="174"/>
      <c r="D519" s="162"/>
      <c r="K519" s="174"/>
    </row>
    <row r="520" spans="2:11" s="161" customFormat="1">
      <c r="B520" s="174"/>
      <c r="D520" s="162"/>
      <c r="K520" s="174"/>
    </row>
    <row r="521" spans="2:11" s="161" customFormat="1">
      <c r="B521" s="174"/>
      <c r="D521" s="162"/>
      <c r="K521" s="174"/>
    </row>
    <row r="522" spans="2:11" s="161" customFormat="1">
      <c r="B522" s="174"/>
      <c r="D522" s="162"/>
      <c r="K522" s="174"/>
    </row>
    <row r="523" spans="2:11" s="161" customFormat="1">
      <c r="B523" s="174"/>
      <c r="D523" s="162"/>
      <c r="K523" s="174"/>
    </row>
    <row r="524" spans="2:11" s="161" customFormat="1">
      <c r="B524" s="174"/>
      <c r="D524" s="162"/>
      <c r="K524" s="174"/>
    </row>
    <row r="525" spans="2:11" s="161" customFormat="1">
      <c r="B525" s="174"/>
      <c r="D525" s="162"/>
      <c r="K525" s="174"/>
    </row>
    <row r="526" spans="2:11" s="161" customFormat="1">
      <c r="B526" s="174"/>
      <c r="D526" s="162"/>
      <c r="K526" s="174"/>
    </row>
    <row r="527" spans="2:11" s="161" customFormat="1">
      <c r="B527" s="174"/>
      <c r="D527" s="162"/>
      <c r="K527" s="174"/>
    </row>
    <row r="528" spans="2:11" s="161" customFormat="1">
      <c r="B528" s="174"/>
      <c r="D528" s="162"/>
      <c r="K528" s="174"/>
    </row>
    <row r="529" spans="2:11" s="161" customFormat="1">
      <c r="B529" s="174"/>
      <c r="D529" s="162"/>
      <c r="K529" s="174"/>
    </row>
    <row r="530" spans="2:11" s="161" customFormat="1">
      <c r="B530" s="174"/>
      <c r="D530" s="162"/>
      <c r="K530" s="174"/>
    </row>
    <row r="531" spans="2:11" s="161" customFormat="1">
      <c r="B531" s="174"/>
      <c r="D531" s="162"/>
      <c r="K531" s="174"/>
    </row>
    <row r="532" spans="2:11" s="161" customFormat="1">
      <c r="B532" s="174"/>
      <c r="D532" s="162"/>
      <c r="K532" s="174"/>
    </row>
    <row r="533" spans="2:11" s="161" customFormat="1">
      <c r="B533" s="174"/>
      <c r="D533" s="162"/>
      <c r="K533" s="174"/>
    </row>
    <row r="534" spans="2:11" s="161" customFormat="1">
      <c r="B534" s="174"/>
      <c r="D534" s="162"/>
      <c r="K534" s="174"/>
    </row>
    <row r="535" spans="2:11" s="161" customFormat="1">
      <c r="B535" s="174"/>
      <c r="D535" s="162"/>
      <c r="K535" s="174"/>
    </row>
    <row r="536" spans="2:11" s="161" customFormat="1">
      <c r="B536" s="174"/>
      <c r="D536" s="162"/>
      <c r="K536" s="174"/>
    </row>
    <row r="537" spans="2:11" s="161" customFormat="1">
      <c r="B537" s="174"/>
      <c r="D537" s="162"/>
      <c r="K537" s="174"/>
    </row>
    <row r="538" spans="2:11" s="161" customFormat="1">
      <c r="B538" s="174"/>
      <c r="D538" s="162"/>
      <c r="K538" s="174"/>
    </row>
    <row r="539" spans="2:11" s="161" customFormat="1">
      <c r="B539" s="174"/>
      <c r="D539" s="162"/>
      <c r="K539" s="174"/>
    </row>
    <row r="540" spans="2:11" s="161" customFormat="1">
      <c r="B540" s="174"/>
      <c r="D540" s="162"/>
      <c r="K540" s="174"/>
    </row>
    <row r="541" spans="2:11" s="161" customFormat="1">
      <c r="B541" s="174"/>
      <c r="D541" s="162"/>
      <c r="K541" s="174"/>
    </row>
    <row r="542" spans="2:11" s="161" customFormat="1">
      <c r="B542" s="174"/>
      <c r="D542" s="162"/>
      <c r="K542" s="174"/>
    </row>
    <row r="543" spans="2:11" s="161" customFormat="1">
      <c r="B543" s="174"/>
      <c r="D543" s="162"/>
      <c r="K543" s="174"/>
    </row>
    <row r="544" spans="2:11" s="161" customFormat="1">
      <c r="B544" s="174"/>
      <c r="D544" s="162"/>
      <c r="K544" s="174"/>
    </row>
    <row r="545" spans="2:11" s="161" customFormat="1">
      <c r="B545" s="174"/>
      <c r="D545" s="162"/>
      <c r="K545" s="174"/>
    </row>
    <row r="546" spans="2:11" s="161" customFormat="1">
      <c r="B546" s="174"/>
      <c r="D546" s="162"/>
      <c r="K546" s="174"/>
    </row>
    <row r="547" spans="2:11" s="161" customFormat="1">
      <c r="B547" s="174"/>
      <c r="D547" s="162"/>
      <c r="K547" s="174"/>
    </row>
    <row r="548" spans="2:11" s="161" customFormat="1">
      <c r="B548" s="174"/>
      <c r="D548" s="162"/>
      <c r="K548" s="174"/>
    </row>
    <row r="549" spans="2:11" s="161" customFormat="1">
      <c r="B549" s="174"/>
      <c r="D549" s="162"/>
      <c r="K549" s="174"/>
    </row>
    <row r="550" spans="2:11" s="161" customFormat="1">
      <c r="B550" s="174"/>
      <c r="D550" s="162"/>
      <c r="K550" s="174"/>
    </row>
    <row r="551" spans="2:11" s="161" customFormat="1">
      <c r="B551" s="174"/>
      <c r="D551" s="162"/>
      <c r="K551" s="174"/>
    </row>
    <row r="552" spans="2:11" s="161" customFormat="1">
      <c r="B552" s="174"/>
      <c r="D552" s="162"/>
      <c r="K552" s="174"/>
    </row>
    <row r="553" spans="2:11" s="161" customFormat="1">
      <c r="B553" s="174"/>
      <c r="D553" s="162"/>
      <c r="K553" s="174"/>
    </row>
    <row r="554" spans="2:11" s="161" customFormat="1">
      <c r="B554" s="174"/>
      <c r="D554" s="162"/>
      <c r="K554" s="174"/>
    </row>
    <row r="555" spans="2:11" s="161" customFormat="1">
      <c r="B555" s="174"/>
      <c r="D555" s="162"/>
      <c r="K555" s="174"/>
    </row>
    <row r="556" spans="2:11" s="161" customFormat="1">
      <c r="B556" s="174"/>
      <c r="D556" s="162"/>
      <c r="K556" s="174"/>
    </row>
    <row r="557" spans="2:11" s="161" customFormat="1">
      <c r="B557" s="174"/>
      <c r="D557" s="162"/>
      <c r="K557" s="174"/>
    </row>
    <row r="558" spans="2:11" s="161" customFormat="1">
      <c r="B558" s="174"/>
      <c r="D558" s="162"/>
      <c r="K558" s="174"/>
    </row>
    <row r="559" spans="2:11" s="161" customFormat="1">
      <c r="B559" s="174"/>
      <c r="D559" s="162"/>
      <c r="K559" s="174"/>
    </row>
    <row r="560" spans="2:11" s="161" customFormat="1">
      <c r="B560" s="174"/>
      <c r="D560" s="162"/>
      <c r="K560" s="174"/>
    </row>
    <row r="561" spans="2:11" s="161" customFormat="1">
      <c r="B561" s="174"/>
      <c r="D561" s="162"/>
      <c r="K561" s="174"/>
    </row>
    <row r="562" spans="2:11" s="161" customFormat="1">
      <c r="B562" s="174"/>
      <c r="D562" s="162"/>
      <c r="K562" s="174"/>
    </row>
    <row r="563" spans="2:11" s="161" customFormat="1">
      <c r="B563" s="174"/>
      <c r="D563" s="162"/>
      <c r="K563" s="174"/>
    </row>
    <row r="564" spans="2:11" s="161" customFormat="1">
      <c r="B564" s="174"/>
      <c r="D564" s="162"/>
      <c r="K564" s="174"/>
    </row>
    <row r="565" spans="2:11" s="161" customFormat="1">
      <c r="B565" s="174"/>
      <c r="D565" s="162"/>
      <c r="K565" s="174"/>
    </row>
    <row r="566" spans="2:11" s="161" customFormat="1">
      <c r="B566" s="174"/>
      <c r="D566" s="162"/>
      <c r="K566" s="174"/>
    </row>
    <row r="567" spans="2:11" s="161" customFormat="1">
      <c r="B567" s="174"/>
      <c r="D567" s="162"/>
      <c r="K567" s="174"/>
    </row>
    <row r="568" spans="2:11" s="161" customFormat="1">
      <c r="B568" s="174"/>
      <c r="D568" s="162"/>
      <c r="K568" s="174"/>
    </row>
    <row r="569" spans="2:11" s="161" customFormat="1">
      <c r="B569" s="174"/>
      <c r="D569" s="162"/>
      <c r="K569" s="174"/>
    </row>
    <row r="570" spans="2:11" s="161" customFormat="1">
      <c r="B570" s="174"/>
      <c r="D570" s="162"/>
      <c r="K570" s="174"/>
    </row>
    <row r="571" spans="2:11" s="161" customFormat="1">
      <c r="B571" s="174"/>
      <c r="D571" s="162"/>
      <c r="K571" s="174"/>
    </row>
    <row r="572" spans="2:11" s="161" customFormat="1">
      <c r="B572" s="174"/>
      <c r="D572" s="162"/>
      <c r="K572" s="174"/>
    </row>
    <row r="573" spans="2:11" s="161" customFormat="1">
      <c r="B573" s="174"/>
      <c r="D573" s="162"/>
      <c r="K573" s="174"/>
    </row>
    <row r="574" spans="2:11" s="161" customFormat="1">
      <c r="B574" s="174"/>
      <c r="D574" s="162"/>
      <c r="K574" s="174"/>
    </row>
    <row r="575" spans="2:11" s="161" customFormat="1">
      <c r="B575" s="174"/>
      <c r="D575" s="162"/>
      <c r="K575" s="174"/>
    </row>
    <row r="576" spans="2:11" s="161" customFormat="1">
      <c r="B576" s="174"/>
      <c r="D576" s="162"/>
      <c r="K576" s="174"/>
    </row>
    <row r="577" spans="2:11" s="161" customFormat="1">
      <c r="B577" s="174"/>
      <c r="D577" s="162"/>
      <c r="K577" s="174"/>
    </row>
    <row r="578" spans="2:11" s="161" customFormat="1">
      <c r="B578" s="174"/>
      <c r="D578" s="162"/>
      <c r="K578" s="174"/>
    </row>
    <row r="579" spans="2:11" s="161" customFormat="1">
      <c r="B579" s="174"/>
      <c r="D579" s="162"/>
      <c r="K579" s="174"/>
    </row>
    <row r="580" spans="2:11" s="161" customFormat="1">
      <c r="B580" s="174"/>
      <c r="D580" s="162"/>
      <c r="K580" s="174"/>
    </row>
    <row r="581" spans="2:11" s="161" customFormat="1">
      <c r="B581" s="174"/>
      <c r="D581" s="162"/>
      <c r="K581" s="174"/>
    </row>
    <row r="582" spans="2:11" s="161" customFormat="1">
      <c r="B582" s="174"/>
      <c r="D582" s="162"/>
      <c r="K582" s="174"/>
    </row>
    <row r="583" spans="2:11" s="161" customFormat="1">
      <c r="B583" s="174"/>
      <c r="D583" s="162"/>
      <c r="K583" s="174"/>
    </row>
    <row r="584" spans="2:11" s="161" customFormat="1">
      <c r="B584" s="174"/>
      <c r="D584" s="162"/>
      <c r="K584" s="174"/>
    </row>
    <row r="585" spans="2:11" s="161" customFormat="1">
      <c r="B585" s="174"/>
      <c r="D585" s="162"/>
      <c r="K585" s="174"/>
    </row>
    <row r="586" spans="2:11" s="161" customFormat="1">
      <c r="B586" s="174"/>
      <c r="D586" s="162"/>
      <c r="K586" s="174"/>
    </row>
    <row r="587" spans="2:11" s="161" customFormat="1">
      <c r="B587" s="174"/>
      <c r="D587" s="162"/>
      <c r="K587" s="174"/>
    </row>
    <row r="588" spans="2:11" s="161" customFormat="1">
      <c r="B588" s="174"/>
      <c r="D588" s="162"/>
      <c r="K588" s="174"/>
    </row>
    <row r="589" spans="2:11" s="161" customFormat="1">
      <c r="B589" s="174"/>
      <c r="D589" s="162"/>
      <c r="K589" s="174"/>
    </row>
    <row r="590" spans="2:11" s="161" customFormat="1">
      <c r="B590" s="174"/>
      <c r="D590" s="162"/>
      <c r="K590" s="174"/>
    </row>
    <row r="591" spans="2:11" s="161" customFormat="1">
      <c r="B591" s="174"/>
      <c r="D591" s="162"/>
      <c r="K591" s="174"/>
    </row>
    <row r="592" spans="2:11" s="161" customFormat="1">
      <c r="B592" s="174"/>
      <c r="D592" s="162"/>
      <c r="K592" s="174"/>
    </row>
    <row r="593" spans="2:11" s="161" customFormat="1">
      <c r="B593" s="174"/>
      <c r="D593" s="162"/>
      <c r="K593" s="174"/>
    </row>
    <row r="594" spans="2:11" s="161" customFormat="1">
      <c r="B594" s="174"/>
      <c r="D594" s="162"/>
      <c r="K594" s="174"/>
    </row>
    <row r="595" spans="2:11" s="161" customFormat="1">
      <c r="B595" s="174"/>
      <c r="D595" s="162"/>
      <c r="K595" s="174"/>
    </row>
    <row r="596" spans="2:11" s="161" customFormat="1">
      <c r="B596" s="174"/>
      <c r="D596" s="162"/>
      <c r="K596" s="174"/>
    </row>
    <row r="597" spans="2:11" s="161" customFormat="1">
      <c r="B597" s="174"/>
      <c r="D597" s="162"/>
      <c r="K597" s="174"/>
    </row>
    <row r="598" spans="2:11" s="161" customFormat="1">
      <c r="B598" s="174"/>
      <c r="D598" s="162"/>
      <c r="K598" s="174"/>
    </row>
    <row r="599" spans="2:11" s="161" customFormat="1">
      <c r="B599" s="174"/>
      <c r="D599" s="162"/>
      <c r="K599" s="174"/>
    </row>
    <row r="600" spans="2:11" s="161" customFormat="1">
      <c r="B600" s="174"/>
      <c r="D600" s="162"/>
      <c r="K600" s="174"/>
    </row>
    <row r="601" spans="2:11" s="161" customFormat="1">
      <c r="B601" s="174"/>
      <c r="D601" s="162"/>
      <c r="K601" s="174"/>
    </row>
    <row r="602" spans="2:11" s="161" customFormat="1">
      <c r="B602" s="174"/>
      <c r="D602" s="162"/>
      <c r="K602" s="174"/>
    </row>
    <row r="603" spans="2:11" s="161" customFormat="1">
      <c r="B603" s="174"/>
      <c r="D603" s="162"/>
      <c r="K603" s="174"/>
    </row>
    <row r="604" spans="2:11" s="161" customFormat="1">
      <c r="B604" s="174"/>
      <c r="D604" s="162"/>
      <c r="K604" s="174"/>
    </row>
    <row r="605" spans="2:11" s="161" customFormat="1">
      <c r="B605" s="174"/>
      <c r="D605" s="162"/>
      <c r="K605" s="174"/>
    </row>
    <row r="606" spans="2:11" s="161" customFormat="1">
      <c r="B606" s="174"/>
      <c r="D606" s="162"/>
      <c r="K606" s="174"/>
    </row>
  </sheetData>
  <mergeCells count="221">
    <mergeCell ref="F26:G26"/>
    <mergeCell ref="H26:I26"/>
    <mergeCell ref="F28:G28"/>
    <mergeCell ref="E81:E83"/>
    <mergeCell ref="E93:E95"/>
    <mergeCell ref="F94:I94"/>
    <mergeCell ref="F95:G95"/>
    <mergeCell ref="F100:G100"/>
    <mergeCell ref="F4:G4"/>
    <mergeCell ref="H4:I4"/>
    <mergeCell ref="H5:I5"/>
    <mergeCell ref="H6:I6"/>
    <mergeCell ref="H7:I7"/>
    <mergeCell ref="F8:G8"/>
    <mergeCell ref="H8:I8"/>
    <mergeCell ref="F10:G10"/>
    <mergeCell ref="H10:I10"/>
    <mergeCell ref="F303:G303"/>
    <mergeCell ref="H303:I303"/>
    <mergeCell ref="H304:I304"/>
    <mergeCell ref="H305:I305"/>
    <mergeCell ref="H306:I306"/>
    <mergeCell ref="F299:G299"/>
    <mergeCell ref="H299:I299"/>
    <mergeCell ref="F300:G300"/>
    <mergeCell ref="H300:I300"/>
    <mergeCell ref="H294:I294"/>
    <mergeCell ref="H295:I295"/>
    <mergeCell ref="H296:I296"/>
    <mergeCell ref="H297:I297"/>
    <mergeCell ref="H298:I298"/>
    <mergeCell ref="H287:I287"/>
    <mergeCell ref="F288:G288"/>
    <mergeCell ref="H291:I291"/>
    <mergeCell ref="F293:G293"/>
    <mergeCell ref="H293:I293"/>
    <mergeCell ref="H278:I278"/>
    <mergeCell ref="H279:I279"/>
    <mergeCell ref="H280:I280"/>
    <mergeCell ref="H281:I281"/>
    <mergeCell ref="F282:G282"/>
    <mergeCell ref="H282:I282"/>
    <mergeCell ref="H270:I270"/>
    <mergeCell ref="H271:I271"/>
    <mergeCell ref="H272:I272"/>
    <mergeCell ref="H273:I273"/>
    <mergeCell ref="F277:G277"/>
    <mergeCell ref="H277:I277"/>
    <mergeCell ref="H265:I265"/>
    <mergeCell ref="F266:G266"/>
    <mergeCell ref="H266:I266"/>
    <mergeCell ref="F267:I267"/>
    <mergeCell ref="F269:G269"/>
    <mergeCell ref="H269:I269"/>
    <mergeCell ref="H260:I260"/>
    <mergeCell ref="H261:I261"/>
    <mergeCell ref="H262:I262"/>
    <mergeCell ref="H263:I263"/>
    <mergeCell ref="H264:I264"/>
    <mergeCell ref="H255:I255"/>
    <mergeCell ref="H256:I256"/>
    <mergeCell ref="H257:I257"/>
    <mergeCell ref="H258:I258"/>
    <mergeCell ref="H259:I259"/>
    <mergeCell ref="H250:I250"/>
    <mergeCell ref="H251:I251"/>
    <mergeCell ref="H252:I252"/>
    <mergeCell ref="H253:I253"/>
    <mergeCell ref="H254:I254"/>
    <mergeCell ref="H245:I245"/>
    <mergeCell ref="H246:I246"/>
    <mergeCell ref="H247:I247"/>
    <mergeCell ref="H248:I248"/>
    <mergeCell ref="H249:I249"/>
    <mergeCell ref="H237:I237"/>
    <mergeCell ref="F238:G238"/>
    <mergeCell ref="H238:I238"/>
    <mergeCell ref="F244:G244"/>
    <mergeCell ref="H244:I244"/>
    <mergeCell ref="H231:I231"/>
    <mergeCell ref="H232:I232"/>
    <mergeCell ref="H234:I234"/>
    <mergeCell ref="H235:I235"/>
    <mergeCell ref="H236:I236"/>
    <mergeCell ref="H226:I226"/>
    <mergeCell ref="H227:I227"/>
    <mergeCell ref="H228:I228"/>
    <mergeCell ref="H229:I229"/>
    <mergeCell ref="H230:I230"/>
    <mergeCell ref="F222:G222"/>
    <mergeCell ref="H222:I222"/>
    <mergeCell ref="H223:I223"/>
    <mergeCell ref="H224:I224"/>
    <mergeCell ref="H225:I225"/>
    <mergeCell ref="H206:I206"/>
    <mergeCell ref="H208:I208"/>
    <mergeCell ref="H209:I209"/>
    <mergeCell ref="H210:I210"/>
    <mergeCell ref="H211:I211"/>
    <mergeCell ref="H201:I201"/>
    <mergeCell ref="H202:I202"/>
    <mergeCell ref="H203:I203"/>
    <mergeCell ref="H204:I204"/>
    <mergeCell ref="H205:I205"/>
    <mergeCell ref="H194:I194"/>
    <mergeCell ref="H195:I195"/>
    <mergeCell ref="F196:I196"/>
    <mergeCell ref="F200:G200"/>
    <mergeCell ref="H200:I200"/>
    <mergeCell ref="H189:I189"/>
    <mergeCell ref="H190:I190"/>
    <mergeCell ref="H191:I191"/>
    <mergeCell ref="H192:I192"/>
    <mergeCell ref="H193:I193"/>
    <mergeCell ref="F186:G186"/>
    <mergeCell ref="H186:I186"/>
    <mergeCell ref="H187:I187"/>
    <mergeCell ref="H188:I188"/>
    <mergeCell ref="H171:I171"/>
    <mergeCell ref="H172:I172"/>
    <mergeCell ref="H173:I173"/>
    <mergeCell ref="H174:I174"/>
    <mergeCell ref="F183:G183"/>
    <mergeCell ref="H165:I165"/>
    <mergeCell ref="H166:I166"/>
    <mergeCell ref="H167:I167"/>
    <mergeCell ref="H169:I169"/>
    <mergeCell ref="H170:I170"/>
    <mergeCell ref="H159:I159"/>
    <mergeCell ref="H161:I161"/>
    <mergeCell ref="H162:I162"/>
    <mergeCell ref="H163:I163"/>
    <mergeCell ref="H164:I164"/>
    <mergeCell ref="H157:I157"/>
    <mergeCell ref="F153:G153"/>
    <mergeCell ref="H153:I153"/>
    <mergeCell ref="H146:I146"/>
    <mergeCell ref="F150:G150"/>
    <mergeCell ref="H150:I150"/>
    <mergeCell ref="H151:I151"/>
    <mergeCell ref="H152:I152"/>
    <mergeCell ref="H143:I143"/>
    <mergeCell ref="F144:G144"/>
    <mergeCell ref="H144:I144"/>
    <mergeCell ref="F145:G145"/>
    <mergeCell ref="H145:I145"/>
    <mergeCell ref="H138:I138"/>
    <mergeCell ref="H139:I139"/>
    <mergeCell ref="H140:I140"/>
    <mergeCell ref="H141:I141"/>
    <mergeCell ref="H142:I142"/>
    <mergeCell ref="F143:G143"/>
    <mergeCell ref="F137:G137"/>
    <mergeCell ref="H137:I137"/>
    <mergeCell ref="H132:I132"/>
    <mergeCell ref="F134:G134"/>
    <mergeCell ref="H134:I134"/>
    <mergeCell ref="F135:G135"/>
    <mergeCell ref="H135:I135"/>
    <mergeCell ref="H124:I124"/>
    <mergeCell ref="H125:I125"/>
    <mergeCell ref="H126:I126"/>
    <mergeCell ref="H127:I127"/>
    <mergeCell ref="F128:G128"/>
    <mergeCell ref="H128:I128"/>
    <mergeCell ref="F132:G132"/>
    <mergeCell ref="H118:I118"/>
    <mergeCell ref="H119:I119"/>
    <mergeCell ref="H120:I120"/>
    <mergeCell ref="H121:I121"/>
    <mergeCell ref="H122:I122"/>
    <mergeCell ref="H113:I113"/>
    <mergeCell ref="F114:G114"/>
    <mergeCell ref="H114:I114"/>
    <mergeCell ref="F115:I115"/>
    <mergeCell ref="H116:I116"/>
    <mergeCell ref="F111:G111"/>
    <mergeCell ref="H111:I111"/>
    <mergeCell ref="F112:G112"/>
    <mergeCell ref="H112:I112"/>
    <mergeCell ref="F107:G107"/>
    <mergeCell ref="H107:I107"/>
    <mergeCell ref="F108:G108"/>
    <mergeCell ref="F109:G109"/>
    <mergeCell ref="H109:I109"/>
    <mergeCell ref="H97:I97"/>
    <mergeCell ref="H98:I98"/>
    <mergeCell ref="H99:I99"/>
    <mergeCell ref="H100:I100"/>
    <mergeCell ref="H110:I110"/>
    <mergeCell ref="H95:I95"/>
    <mergeCell ref="H96:I96"/>
    <mergeCell ref="H19:I19"/>
    <mergeCell ref="H28:I28"/>
    <mergeCell ref="H29:I29"/>
    <mergeCell ref="H30:I30"/>
    <mergeCell ref="H11:I11"/>
    <mergeCell ref="F12:G12"/>
    <mergeCell ref="H12:I12"/>
    <mergeCell ref="H14:I14"/>
    <mergeCell ref="H15:I15"/>
    <mergeCell ref="H16:I16"/>
    <mergeCell ref="H17:I17"/>
    <mergeCell ref="H18:I18"/>
    <mergeCell ref="H20:I20"/>
    <mergeCell ref="H21:I21"/>
    <mergeCell ref="H22:I22"/>
    <mergeCell ref="H23:I23"/>
    <mergeCell ref="H24:I24"/>
    <mergeCell ref="F25:G25"/>
    <mergeCell ref="H25:I25"/>
    <mergeCell ref="F31:G31"/>
    <mergeCell ref="H31:I31"/>
    <mergeCell ref="F110:G110"/>
    <mergeCell ref="F113:G113"/>
    <mergeCell ref="F118:G118"/>
    <mergeCell ref="F124:G124"/>
    <mergeCell ref="H72:I72"/>
    <mergeCell ref="H73:I73"/>
    <mergeCell ref="F74:G74"/>
    <mergeCell ref="H74:I74"/>
  </mergeCells>
  <hyperlinks>
    <hyperlink ref="E54" r:id="rId1" tooltip="Открыть страницу о продукте" display="https://pbprog.ru/tk/pi-1651"/>
    <hyperlink ref="E55" r:id="rId2" tooltip="Открыть страницу о продукте" display="https://pbprog.ru/tk/pi-1183"/>
    <hyperlink ref="E56" r:id="rId3" tooltip="Открыть страницу о продукте" display="https://pbprog.ru/tk/pi-1647"/>
    <hyperlink ref="E57" r:id="rId4" tooltip="Открыть страницу о продукте" display="https://pbprog.ru/tk/pi-1647"/>
    <hyperlink ref="E111" r:id="rId5" tooltip="Открыть страницу о продукте" display="https://pbprog.ru/tk/pi-1206"/>
    <hyperlink ref="E112" r:id="rId6" tooltip="Открыть страницу о продукте" display="https://pbprog.ru/tk/pi-39"/>
    <hyperlink ref="E113" r:id="rId7" tooltip="Открыть страницу о продукте" display="https://pbprog.ru/tk/pi-1183"/>
    <hyperlink ref="E114" r:id="rId8" tooltip="Открыть страницу о продукте" display="https://pbprog.ru/tk/pi-1653"/>
    <hyperlink ref="E116" r:id="rId9" tooltip="Открыть страницу о продукте" display="https://pbprog.ru/tk/pi-1647"/>
    <hyperlink ref="E131" r:id="rId10" tooltip="Открыть страницу о продукте" display="https://pbprog.ru/tk/pi-266"/>
    <hyperlink ref="E132" r:id="rId11" tooltip="Открыть страницу о продукте" display="https://pbprog.ru/tk/pi-1183"/>
    <hyperlink ref="E133" r:id="rId12" tooltip="Открыть страницу о продукте" display="https://pbprog.ru/tk/pi-39"/>
    <hyperlink ref="E134" r:id="rId13" tooltip="Открыть страницу о продукте" display="https://pbprog.ru/tk/pi-1653"/>
    <hyperlink ref="E135" r:id="rId14" tooltip="Открыть страницу о продукте" display="https://pbprog.ru/tk/pi-1184"/>
    <hyperlink ref="E155" r:id="rId15" tooltip="Открыть страницу о продукте" display="https://pbprog.ru/tk/pi-1647"/>
    <hyperlink ref="E154" r:id="rId16" tooltip="Открыть страницу о продукте" display="https://pbprog.ru/tk/pi-1647"/>
    <hyperlink ref="E153" r:id="rId17" tooltip="Открыть страницу о продукте" display="https://pbprog.ru/tk/pi-1183"/>
    <hyperlink ref="E152" r:id="rId18" tooltip="Открыть страницу о продукте" display="https://pbprog.ru/tk/pi-1651"/>
    <hyperlink ref="E21" r:id="rId19" tooltip="Открыть страницу о продукте" display="https://pbprog.ru/tk/pi-206"/>
    <hyperlink ref="E22" r:id="rId20" tooltip="Открыть страницу о продукте" display="https://pbprog.ru/tk/pi-1183"/>
    <hyperlink ref="E23" r:id="rId21" tooltip="Открыть страницу о продукте" display="https://pbprog.ru/tk/pi-1653"/>
    <hyperlink ref="E24" r:id="rId22" tooltip="Открыть страницу о продукте" display="https://pbprog.ru/tk/pi-1647"/>
    <hyperlink ref="E25" r:id="rId23" tooltip="Открыть страницу о продукте" display="https://pbprog.ru/tk/pi-1184"/>
    <hyperlink ref="E26" r:id="rId24" tooltip="Открыть страницу о продукте" display="https://pbprog.ru/tk/pi-39"/>
  </hyperlinks>
  <pageMargins left="0.23622047244094491" right="0.23622047244094491" top="0.74803149606299213" bottom="0.74803149606299213" header="0.31496062992125984" footer="0.31496062992125984"/>
  <pageSetup paperSize="9" scale="70" fitToHeight="0" orientation="portrait" verticalDpi="0" r:id="rId25"/>
</worksheet>
</file>

<file path=xl/worksheets/sheet3.xml><?xml version="1.0" encoding="utf-8"?>
<worksheet xmlns="http://schemas.openxmlformats.org/spreadsheetml/2006/main" xmlns:r="http://schemas.openxmlformats.org/officeDocument/2006/relationships">
  <dimension ref="A1:L511"/>
  <sheetViews>
    <sheetView tabSelected="1" zoomScale="80" zoomScaleNormal="80" workbookViewId="0">
      <pane xSplit="3" ySplit="4" topLeftCell="D17" activePane="bottomRight" state="frozen"/>
      <selection pane="topRight" activeCell="D1" sqref="D1"/>
      <selection pane="bottomLeft" activeCell="A4" sqref="A4"/>
      <selection pane="bottomRight" activeCell="B41" sqref="B41"/>
    </sheetView>
  </sheetViews>
  <sheetFormatPr defaultRowHeight="15"/>
  <cols>
    <col min="1" max="1" width="15.85546875" style="42" customWidth="1"/>
    <col min="2" max="2" width="24.5703125" style="42" customWidth="1"/>
    <col min="3" max="3" width="9.140625" style="42" customWidth="1"/>
    <col min="4" max="4" width="0.28515625" style="42" customWidth="1"/>
    <col min="5" max="6" width="9.140625" style="42"/>
  </cols>
  <sheetData>
    <row r="1" spans="1:12">
      <c r="A1" s="529" t="s">
        <v>252</v>
      </c>
      <c r="B1" s="530"/>
      <c r="C1" s="530"/>
      <c r="D1" s="530"/>
      <c r="E1" s="530"/>
      <c r="F1" s="530"/>
    </row>
    <row r="2" spans="1:12" ht="27.75" customHeight="1">
      <c r="A2" s="99" t="e">
        <f>(#REF!+#REF!+#REF!+#REF!+#REF!+#REF!+#REF!+#REF!+#REF!+#REF!)/10</f>
        <v>#REF!</v>
      </c>
      <c r="B2" s="531" t="s">
        <v>31</v>
      </c>
      <c r="C2" s="532" t="s">
        <v>23</v>
      </c>
      <c r="D2" s="489" t="s">
        <v>15</v>
      </c>
      <c r="E2" s="489" t="s">
        <v>16</v>
      </c>
      <c r="F2" s="489"/>
    </row>
    <row r="3" spans="1:12" ht="30.75" customHeight="1">
      <c r="A3" s="43" t="s">
        <v>96</v>
      </c>
      <c r="B3" s="531"/>
      <c r="C3" s="532"/>
      <c r="D3" s="489"/>
      <c r="E3" s="489" t="s">
        <v>17</v>
      </c>
      <c r="F3" s="489"/>
    </row>
    <row r="4" spans="1:12">
      <c r="A4" s="5" t="s">
        <v>75</v>
      </c>
      <c r="B4" s="531"/>
      <c r="C4" s="532"/>
      <c r="D4" s="489"/>
      <c r="E4" s="16" t="s">
        <v>18</v>
      </c>
      <c r="F4" s="16" t="s">
        <v>19</v>
      </c>
    </row>
    <row r="5" spans="1:12" s="12" customFormat="1">
      <c r="A5" s="13" t="s">
        <v>13</v>
      </c>
      <c r="B5" s="11"/>
      <c r="C5" s="41"/>
      <c r="D5" s="14"/>
      <c r="E5" s="14"/>
      <c r="F5" s="14"/>
    </row>
    <row r="6" spans="1:12">
      <c r="B6" s="208" t="s">
        <v>63</v>
      </c>
      <c r="C6" s="394">
        <v>60</v>
      </c>
      <c r="D6" s="203"/>
      <c r="E6" s="203"/>
      <c r="F6" s="203"/>
      <c r="G6" s="526" t="s">
        <v>181</v>
      </c>
      <c r="H6" s="526"/>
      <c r="I6" s="526" t="s">
        <v>182</v>
      </c>
      <c r="J6" s="526"/>
      <c r="L6" s="243">
        <f>SUM(L7:L11)</f>
        <v>9.1440000000000001</v>
      </c>
    </row>
    <row r="7" spans="1:12">
      <c r="B7" s="201" t="s">
        <v>315</v>
      </c>
      <c r="C7" s="394"/>
      <c r="D7" s="203"/>
      <c r="E7" s="527" t="s">
        <v>97</v>
      </c>
      <c r="F7" s="527"/>
      <c r="G7" s="528">
        <v>60.78</v>
      </c>
      <c r="H7" s="528"/>
      <c r="I7" s="528">
        <v>48.6</v>
      </c>
      <c r="J7" s="528"/>
      <c r="K7">
        <v>140</v>
      </c>
      <c r="L7">
        <f>G7*K7/1000</f>
        <v>8.5091999999999999</v>
      </c>
    </row>
    <row r="8" spans="1:12">
      <c r="B8" s="201"/>
      <c r="C8" s="394"/>
      <c r="D8" s="203"/>
      <c r="E8" s="527" t="s">
        <v>98</v>
      </c>
      <c r="F8" s="527"/>
      <c r="G8" s="528">
        <v>11.28</v>
      </c>
      <c r="H8" s="528"/>
      <c r="I8" s="528">
        <v>9</v>
      </c>
      <c r="J8" s="528"/>
      <c r="L8">
        <f t="shared" ref="L8:L11" si="0">G8*K8/1000</f>
        <v>0</v>
      </c>
    </row>
    <row r="9" spans="1:12">
      <c r="B9" s="201"/>
      <c r="C9" s="394"/>
      <c r="D9" s="203"/>
      <c r="E9" s="527" t="s">
        <v>99</v>
      </c>
      <c r="F9" s="527"/>
      <c r="G9" s="528">
        <v>10.74</v>
      </c>
      <c r="H9" s="528"/>
      <c r="I9" s="528">
        <v>9</v>
      </c>
      <c r="J9" s="528"/>
      <c r="K9">
        <v>20</v>
      </c>
      <c r="L9">
        <f t="shared" si="0"/>
        <v>0.21480000000000002</v>
      </c>
    </row>
    <row r="10" spans="1:12">
      <c r="B10" s="201"/>
      <c r="C10" s="394"/>
      <c r="D10" s="203"/>
      <c r="E10" s="527" t="s">
        <v>81</v>
      </c>
      <c r="F10" s="527"/>
      <c r="G10" s="528">
        <v>3</v>
      </c>
      <c r="H10" s="528"/>
      <c r="I10" s="528">
        <v>3</v>
      </c>
      <c r="J10" s="528"/>
      <c r="K10">
        <v>140</v>
      </c>
      <c r="L10">
        <f t="shared" si="0"/>
        <v>0.42</v>
      </c>
    </row>
    <row r="11" spans="1:12">
      <c r="B11" s="201"/>
      <c r="C11" s="394"/>
      <c r="D11" s="203"/>
      <c r="E11" s="533" t="s">
        <v>21</v>
      </c>
      <c r="F11" s="533"/>
      <c r="G11" s="528">
        <v>60</v>
      </c>
      <c r="H11" s="528"/>
      <c r="I11" s="244"/>
      <c r="J11" s="244"/>
      <c r="L11">
        <f t="shared" si="0"/>
        <v>0</v>
      </c>
    </row>
    <row r="12" spans="1:12">
      <c r="B12" s="201"/>
      <c r="C12" s="394"/>
      <c r="D12" s="203"/>
      <c r="E12" s="221"/>
      <c r="F12" s="222"/>
      <c r="G12" s="534"/>
      <c r="H12" s="534"/>
      <c r="I12" s="500"/>
      <c r="J12" s="500"/>
    </row>
    <row r="13" spans="1:12">
      <c r="B13" s="201" t="s">
        <v>332</v>
      </c>
      <c r="C13" s="394">
        <v>60</v>
      </c>
      <c r="D13" s="203"/>
      <c r="E13" s="245"/>
      <c r="F13" s="245"/>
      <c r="G13" s="385"/>
      <c r="H13" s="385"/>
      <c r="I13" s="386"/>
      <c r="J13" s="386"/>
      <c r="L13" s="50">
        <f>SUM(L14:L18)</f>
        <v>7.5185000000000004</v>
      </c>
    </row>
    <row r="14" spans="1:12">
      <c r="B14" s="201"/>
      <c r="C14" s="394"/>
      <c r="D14" s="203"/>
      <c r="E14" s="501" t="s">
        <v>333</v>
      </c>
      <c r="F14" s="501"/>
      <c r="G14" s="502">
        <v>27</v>
      </c>
      <c r="H14" s="502"/>
      <c r="I14" s="502">
        <v>26</v>
      </c>
      <c r="J14" s="502"/>
      <c r="K14">
        <v>150</v>
      </c>
      <c r="L14">
        <f t="shared" ref="L14:L18" si="1">G14*K14/1000</f>
        <v>4.05</v>
      </c>
    </row>
    <row r="15" spans="1:12">
      <c r="B15" s="201"/>
      <c r="C15" s="394"/>
      <c r="D15" s="203"/>
      <c r="E15" s="518" t="s">
        <v>334</v>
      </c>
      <c r="F15" s="519"/>
      <c r="G15" s="508">
        <v>31</v>
      </c>
      <c r="H15" s="510"/>
      <c r="I15" s="508">
        <v>30</v>
      </c>
      <c r="J15" s="510"/>
      <c r="K15">
        <v>100</v>
      </c>
      <c r="L15">
        <f t="shared" si="1"/>
        <v>3.1</v>
      </c>
    </row>
    <row r="16" spans="1:12">
      <c r="B16" s="201"/>
      <c r="C16" s="394"/>
      <c r="D16" s="203"/>
      <c r="E16" s="518" t="s">
        <v>335</v>
      </c>
      <c r="F16" s="519"/>
      <c r="G16" s="508">
        <v>4</v>
      </c>
      <c r="H16" s="510"/>
      <c r="I16" s="508">
        <v>4</v>
      </c>
      <c r="J16" s="510"/>
      <c r="K16">
        <v>20</v>
      </c>
      <c r="L16">
        <f t="shared" si="1"/>
        <v>0.08</v>
      </c>
    </row>
    <row r="17" spans="2:12">
      <c r="B17" s="201"/>
      <c r="C17" s="394"/>
      <c r="D17" s="203"/>
      <c r="E17" s="518" t="s">
        <v>81</v>
      </c>
      <c r="F17" s="519"/>
      <c r="G17" s="508">
        <v>2</v>
      </c>
      <c r="H17" s="510"/>
      <c r="I17" s="508">
        <v>2</v>
      </c>
      <c r="J17" s="510"/>
      <c r="K17">
        <v>140</v>
      </c>
      <c r="L17">
        <f t="shared" si="1"/>
        <v>0.28000000000000003</v>
      </c>
    </row>
    <row r="18" spans="2:12">
      <c r="B18" s="201"/>
      <c r="C18" s="394"/>
      <c r="D18" s="203"/>
      <c r="E18" s="501" t="s">
        <v>94</v>
      </c>
      <c r="F18" s="501"/>
      <c r="G18" s="502">
        <v>0.5</v>
      </c>
      <c r="H18" s="502"/>
      <c r="I18" s="502">
        <v>0.5</v>
      </c>
      <c r="J18" s="502"/>
      <c r="K18">
        <v>17</v>
      </c>
      <c r="L18">
        <f t="shared" si="1"/>
        <v>8.5000000000000006E-3</v>
      </c>
    </row>
    <row r="19" spans="2:12">
      <c r="B19" s="201"/>
      <c r="C19" s="394"/>
      <c r="D19" s="203"/>
      <c r="E19" s="520" t="s">
        <v>74</v>
      </c>
      <c r="F19" s="520"/>
      <c r="G19" s="499" t="s">
        <v>30</v>
      </c>
      <c r="H19" s="499"/>
      <c r="I19" s="500">
        <v>60</v>
      </c>
      <c r="J19" s="500"/>
    </row>
    <row r="20" spans="2:12">
      <c r="B20" s="201"/>
      <c r="C20" s="394"/>
      <c r="D20" s="203"/>
      <c r="E20" s="245"/>
      <c r="F20" s="245"/>
      <c r="G20" s="385"/>
      <c r="H20" s="385"/>
      <c r="I20" s="386"/>
      <c r="J20" s="386"/>
    </row>
    <row r="21" spans="2:12">
      <c r="B21" s="201"/>
      <c r="C21" s="394"/>
      <c r="D21" s="203"/>
      <c r="E21" s="245"/>
      <c r="F21" s="245"/>
      <c r="G21" s="385"/>
      <c r="H21" s="385"/>
      <c r="I21" s="386"/>
      <c r="J21" s="386"/>
    </row>
    <row r="22" spans="2:12">
      <c r="B22" s="201"/>
      <c r="C22" s="394"/>
      <c r="D22" s="203"/>
      <c r="E22" s="203"/>
      <c r="F22" s="203"/>
      <c r="G22" s="203"/>
      <c r="H22" s="203"/>
      <c r="I22" s="203"/>
      <c r="J22" s="203"/>
    </row>
    <row r="23" spans="2:12">
      <c r="B23" s="246" t="s">
        <v>279</v>
      </c>
      <c r="C23" s="394">
        <v>200</v>
      </c>
      <c r="D23" s="203"/>
      <c r="E23" s="203"/>
      <c r="F23" s="203"/>
      <c r="G23" s="526" t="s">
        <v>181</v>
      </c>
      <c r="H23" s="503"/>
      <c r="I23" s="526" t="s">
        <v>182</v>
      </c>
      <c r="J23" s="503"/>
      <c r="L23" s="243">
        <f>SUM(L24:L40)</f>
        <v>5.4248199999999986</v>
      </c>
    </row>
    <row r="24" spans="2:12" ht="14.25" customHeight="1">
      <c r="B24" s="201"/>
      <c r="C24" s="394"/>
      <c r="D24" s="203"/>
      <c r="E24" s="247" t="s">
        <v>116</v>
      </c>
      <c r="F24" s="248"/>
      <c r="G24" s="418">
        <v>38.46</v>
      </c>
      <c r="H24" s="233"/>
      <c r="I24" s="418">
        <v>30.76</v>
      </c>
      <c r="J24" s="234"/>
      <c r="K24">
        <v>35</v>
      </c>
      <c r="L24">
        <f>G24*K24/1000</f>
        <v>1.3461000000000001</v>
      </c>
    </row>
    <row r="25" spans="2:12">
      <c r="B25" s="201"/>
      <c r="C25" s="394"/>
      <c r="D25" s="203"/>
      <c r="E25" s="247" t="s">
        <v>83</v>
      </c>
      <c r="F25" s="211"/>
      <c r="G25" s="418">
        <v>19.239999999999998</v>
      </c>
      <c r="H25" s="235"/>
      <c r="I25" s="418">
        <v>15.38</v>
      </c>
      <c r="J25" s="236"/>
      <c r="K25">
        <v>45</v>
      </c>
      <c r="L25">
        <f t="shared" ref="L25:L37" si="2">G25*K25/1000</f>
        <v>0.8657999999999999</v>
      </c>
    </row>
    <row r="26" spans="2:12">
      <c r="B26" s="201"/>
      <c r="C26" s="394"/>
      <c r="D26" s="203"/>
      <c r="E26" s="247" t="s">
        <v>84</v>
      </c>
      <c r="F26" s="211"/>
      <c r="G26" s="418">
        <v>19.239999999999998</v>
      </c>
      <c r="H26" s="235"/>
      <c r="I26" s="418">
        <v>15.38</v>
      </c>
      <c r="J26" s="236"/>
      <c r="K26">
        <v>27</v>
      </c>
      <c r="L26">
        <f t="shared" si="2"/>
        <v>0.51947999999999994</v>
      </c>
    </row>
    <row r="27" spans="2:12">
      <c r="B27" s="201"/>
      <c r="C27" s="394"/>
      <c r="D27" s="203"/>
      <c r="E27" s="247" t="s">
        <v>85</v>
      </c>
      <c r="F27" s="211"/>
      <c r="G27" s="418">
        <v>9.6199999999999992</v>
      </c>
      <c r="H27" s="235"/>
      <c r="I27" s="418">
        <v>7.7</v>
      </c>
      <c r="J27" s="236"/>
      <c r="K27">
        <v>30</v>
      </c>
      <c r="L27">
        <f t="shared" si="2"/>
        <v>0.28859999999999997</v>
      </c>
    </row>
    <row r="28" spans="2:12">
      <c r="B28" s="201"/>
      <c r="C28" s="394"/>
      <c r="D28" s="203"/>
      <c r="E28" s="247" t="s">
        <v>86</v>
      </c>
      <c r="F28" s="211"/>
      <c r="G28" s="418">
        <v>9.16</v>
      </c>
      <c r="H28" s="235"/>
      <c r="I28" s="418">
        <v>7.7</v>
      </c>
      <c r="J28" s="236"/>
      <c r="K28">
        <v>20</v>
      </c>
      <c r="L28">
        <f t="shared" si="2"/>
        <v>0.1832</v>
      </c>
    </row>
    <row r="29" spans="2:12">
      <c r="B29" s="201"/>
      <c r="C29" s="394"/>
      <c r="D29" s="203"/>
      <c r="E29" s="247" t="s">
        <v>203</v>
      </c>
      <c r="F29" s="211"/>
      <c r="G29" s="418">
        <v>2.2999999999999998</v>
      </c>
      <c r="H29" s="211"/>
      <c r="I29" s="418">
        <v>2.2999999999999998</v>
      </c>
      <c r="J29" s="236"/>
      <c r="K29">
        <v>120</v>
      </c>
      <c r="L29">
        <f t="shared" si="2"/>
        <v>0.27600000000000002</v>
      </c>
    </row>
    <row r="30" spans="2:12">
      <c r="B30" s="201"/>
      <c r="C30" s="394"/>
      <c r="D30" s="203"/>
      <c r="E30" s="247" t="s">
        <v>81</v>
      </c>
      <c r="F30" s="211"/>
      <c r="G30" s="418">
        <v>3.08</v>
      </c>
      <c r="H30" s="249"/>
      <c r="I30" s="418">
        <v>3.08</v>
      </c>
      <c r="J30" s="415"/>
      <c r="K30">
        <v>140</v>
      </c>
      <c r="L30">
        <f t="shared" si="2"/>
        <v>0.43119999999999997</v>
      </c>
    </row>
    <row r="31" spans="2:12">
      <c r="B31" s="201"/>
      <c r="C31" s="394"/>
      <c r="D31" s="203"/>
      <c r="E31" s="247" t="s">
        <v>336</v>
      </c>
      <c r="F31" s="211"/>
      <c r="G31" s="418">
        <v>3.08</v>
      </c>
      <c r="H31" s="235"/>
      <c r="I31" s="418">
        <v>3.08</v>
      </c>
      <c r="J31" s="236"/>
      <c r="L31">
        <f t="shared" si="2"/>
        <v>0</v>
      </c>
    </row>
    <row r="32" spans="2:12">
      <c r="B32" s="201"/>
      <c r="C32" s="394"/>
      <c r="D32" s="203"/>
      <c r="E32" s="247" t="s">
        <v>28</v>
      </c>
      <c r="F32" s="211"/>
      <c r="G32" s="418">
        <v>2.2999999999999998</v>
      </c>
      <c r="H32" s="235"/>
      <c r="I32" s="418">
        <v>2.2999999999999998</v>
      </c>
      <c r="J32" s="236"/>
      <c r="K32">
        <v>55</v>
      </c>
      <c r="L32">
        <f t="shared" si="2"/>
        <v>0.12649999999999997</v>
      </c>
    </row>
    <row r="33" spans="1:12">
      <c r="B33" s="201"/>
      <c r="C33" s="394"/>
      <c r="D33" s="203"/>
      <c r="E33" s="247" t="s">
        <v>104</v>
      </c>
      <c r="F33" s="211"/>
      <c r="G33" s="418">
        <v>0.08</v>
      </c>
      <c r="H33" s="235"/>
      <c r="I33" s="418">
        <v>0.08</v>
      </c>
      <c r="J33" s="236"/>
      <c r="K33" s="250">
        <v>500</v>
      </c>
      <c r="L33">
        <f t="shared" si="2"/>
        <v>0.04</v>
      </c>
    </row>
    <row r="34" spans="1:12">
      <c r="B34" s="201"/>
      <c r="C34" s="394"/>
      <c r="D34" s="203"/>
      <c r="E34" s="247" t="s">
        <v>27</v>
      </c>
      <c r="F34" s="211"/>
      <c r="G34" s="418">
        <v>153.84</v>
      </c>
      <c r="H34" s="211"/>
      <c r="I34" s="418">
        <v>153.84</v>
      </c>
      <c r="J34" s="236"/>
      <c r="K34" s="251"/>
      <c r="L34">
        <f t="shared" si="2"/>
        <v>0</v>
      </c>
    </row>
    <row r="35" spans="1:12">
      <c r="B35" s="201"/>
      <c r="C35" s="394"/>
      <c r="D35" s="203"/>
      <c r="E35" s="247" t="s">
        <v>89</v>
      </c>
      <c r="F35" s="211"/>
      <c r="G35" s="418">
        <v>153.84</v>
      </c>
      <c r="H35" s="235"/>
      <c r="I35" s="418">
        <v>153.84</v>
      </c>
      <c r="J35" s="236"/>
      <c r="K35" s="251"/>
      <c r="L35">
        <f t="shared" si="2"/>
        <v>0</v>
      </c>
    </row>
    <row r="36" spans="1:12">
      <c r="B36" s="201"/>
      <c r="C36" s="394"/>
      <c r="D36" s="203"/>
      <c r="E36" s="247" t="s">
        <v>173</v>
      </c>
      <c r="F36" s="211"/>
      <c r="G36" s="418">
        <v>153.84</v>
      </c>
      <c r="H36" s="235"/>
      <c r="I36" s="418">
        <v>153.84</v>
      </c>
      <c r="J36" s="236"/>
      <c r="K36" s="251"/>
      <c r="L36">
        <f t="shared" si="2"/>
        <v>0</v>
      </c>
    </row>
    <row r="37" spans="1:12">
      <c r="B37" s="201"/>
      <c r="C37" s="394"/>
      <c r="D37" s="203"/>
      <c r="E37" s="247" t="s">
        <v>109</v>
      </c>
      <c r="F37" s="211"/>
      <c r="G37" s="418">
        <v>7.7</v>
      </c>
      <c r="H37" s="235"/>
      <c r="I37" s="418">
        <v>7.7</v>
      </c>
      <c r="J37" s="236"/>
      <c r="K37" s="251">
        <v>173.6</v>
      </c>
      <c r="L37">
        <f t="shared" si="2"/>
        <v>1.3367200000000001</v>
      </c>
    </row>
    <row r="38" spans="1:12">
      <c r="B38" s="201"/>
      <c r="C38" s="394"/>
      <c r="D38" s="203"/>
      <c r="E38" s="247" t="s">
        <v>337</v>
      </c>
      <c r="F38" s="211"/>
      <c r="G38" s="418" t="s">
        <v>30</v>
      </c>
      <c r="H38" s="235"/>
      <c r="I38" s="418" t="s">
        <v>30</v>
      </c>
      <c r="J38" s="236"/>
      <c r="K38" s="251"/>
    </row>
    <row r="39" spans="1:12">
      <c r="B39" s="201"/>
      <c r="C39" s="394"/>
      <c r="D39" s="203"/>
      <c r="E39" s="247" t="s">
        <v>29</v>
      </c>
      <c r="F39" s="211"/>
      <c r="G39" s="418">
        <v>0.66</v>
      </c>
      <c r="H39" s="235"/>
      <c r="I39" s="418">
        <v>0.66</v>
      </c>
      <c r="J39" s="236"/>
      <c r="K39">
        <v>17</v>
      </c>
      <c r="L39">
        <f t="shared" ref="L39:L40" si="3">G39*K39/1000</f>
        <v>1.1220000000000001E-2</v>
      </c>
    </row>
    <row r="40" spans="1:12">
      <c r="B40" s="201"/>
      <c r="C40" s="394"/>
      <c r="D40" s="203"/>
      <c r="E40" s="252" t="s">
        <v>21</v>
      </c>
      <c r="F40" s="211"/>
      <c r="G40" s="521">
        <v>200</v>
      </c>
      <c r="H40" s="522"/>
      <c r="I40" s="522"/>
      <c r="J40" s="523"/>
      <c r="L40">
        <f t="shared" si="3"/>
        <v>0</v>
      </c>
    </row>
    <row r="41" spans="1:12" s="12" customFormat="1">
      <c r="A41" s="13"/>
      <c r="B41" s="201"/>
      <c r="C41" s="394"/>
      <c r="D41" s="203"/>
      <c r="E41" s="203"/>
      <c r="F41" s="203"/>
      <c r="G41" s="203"/>
      <c r="H41" s="203"/>
      <c r="I41" s="203"/>
      <c r="J41" s="203"/>
      <c r="K41"/>
      <c r="L41"/>
    </row>
    <row r="42" spans="1:12">
      <c r="B42" s="201" t="s">
        <v>338</v>
      </c>
      <c r="C42" s="394">
        <v>240</v>
      </c>
      <c r="D42" s="203"/>
      <c r="E42" s="203"/>
      <c r="F42" s="203"/>
      <c r="G42" s="503" t="s">
        <v>181</v>
      </c>
      <c r="H42" s="503"/>
      <c r="I42" s="503" t="s">
        <v>182</v>
      </c>
      <c r="J42" s="503"/>
      <c r="L42" s="243">
        <f>SUM(L43:L51)</f>
        <v>32.640100000000004</v>
      </c>
    </row>
    <row r="43" spans="1:12">
      <c r="B43" s="201"/>
      <c r="C43" s="394"/>
      <c r="D43" s="203"/>
      <c r="E43" s="501" t="s">
        <v>339</v>
      </c>
      <c r="F43" s="501"/>
      <c r="G43" s="502">
        <v>80</v>
      </c>
      <c r="H43" s="502"/>
      <c r="I43" s="502">
        <v>72</v>
      </c>
      <c r="J43" s="502"/>
      <c r="K43">
        <v>270</v>
      </c>
      <c r="L43">
        <f>K43*G43/1000</f>
        <v>21.6</v>
      </c>
    </row>
    <row r="44" spans="1:12">
      <c r="B44" s="201"/>
      <c r="C44" s="394"/>
      <c r="D44" s="203"/>
      <c r="E44" s="518" t="s">
        <v>25</v>
      </c>
      <c r="F44" s="519"/>
      <c r="G44" s="508">
        <v>55</v>
      </c>
      <c r="H44" s="510"/>
      <c r="I44" s="508">
        <v>55</v>
      </c>
      <c r="J44" s="510"/>
      <c r="K44">
        <v>75</v>
      </c>
      <c r="L44">
        <f t="shared" ref="L44:L51" si="4">K44*G44/1000</f>
        <v>4.125</v>
      </c>
    </row>
    <row r="45" spans="1:12">
      <c r="B45" s="201"/>
      <c r="C45" s="394"/>
      <c r="D45" s="203"/>
      <c r="E45" s="518" t="s">
        <v>85</v>
      </c>
      <c r="F45" s="519"/>
      <c r="G45" s="508">
        <v>20</v>
      </c>
      <c r="H45" s="510"/>
      <c r="I45" s="508">
        <v>17</v>
      </c>
      <c r="J45" s="510"/>
      <c r="K45">
        <v>30</v>
      </c>
      <c r="L45">
        <f t="shared" si="4"/>
        <v>0.6</v>
      </c>
    </row>
    <row r="46" spans="1:12">
      <c r="B46" s="201"/>
      <c r="C46" s="394"/>
      <c r="D46" s="203"/>
      <c r="E46" s="518" t="s">
        <v>86</v>
      </c>
      <c r="F46" s="519"/>
      <c r="G46" s="508">
        <v>21</v>
      </c>
      <c r="H46" s="510"/>
      <c r="I46" s="508">
        <v>18</v>
      </c>
      <c r="J46" s="510"/>
      <c r="K46">
        <v>20</v>
      </c>
      <c r="L46">
        <f t="shared" si="4"/>
        <v>0.42</v>
      </c>
    </row>
    <row r="47" spans="1:12">
      <c r="B47" s="201"/>
      <c r="C47" s="394"/>
      <c r="D47" s="203"/>
      <c r="E47" s="518" t="s">
        <v>81</v>
      </c>
      <c r="F47" s="519"/>
      <c r="G47" s="524">
        <v>10</v>
      </c>
      <c r="H47" s="525"/>
      <c r="I47" s="524">
        <v>10</v>
      </c>
      <c r="J47" s="525"/>
      <c r="K47">
        <v>140</v>
      </c>
      <c r="L47">
        <f t="shared" si="4"/>
        <v>1.4</v>
      </c>
    </row>
    <row r="48" spans="1:12">
      <c r="B48" s="201"/>
      <c r="C48" s="394"/>
      <c r="D48" s="203"/>
      <c r="E48" s="518" t="s">
        <v>340</v>
      </c>
      <c r="F48" s="519"/>
      <c r="G48" s="508">
        <v>4</v>
      </c>
      <c r="H48" s="510"/>
      <c r="I48" s="508">
        <v>4</v>
      </c>
      <c r="J48" s="510"/>
      <c r="K48">
        <v>135</v>
      </c>
      <c r="L48">
        <f t="shared" si="4"/>
        <v>0.54</v>
      </c>
    </row>
    <row r="49" spans="2:12">
      <c r="B49" s="201"/>
      <c r="C49" s="394"/>
      <c r="D49" s="203"/>
      <c r="E49" s="518" t="s">
        <v>20</v>
      </c>
      <c r="F49" s="519"/>
      <c r="G49" s="508">
        <v>7</v>
      </c>
      <c r="H49" s="510"/>
      <c r="I49" s="508">
        <v>7</v>
      </c>
      <c r="J49" s="510"/>
      <c r="K49">
        <v>550</v>
      </c>
      <c r="L49">
        <f t="shared" si="4"/>
        <v>3.85</v>
      </c>
    </row>
    <row r="50" spans="2:12">
      <c r="B50" s="201"/>
      <c r="C50" s="394"/>
      <c r="D50" s="203"/>
      <c r="E50" s="501" t="s">
        <v>94</v>
      </c>
      <c r="F50" s="501"/>
      <c r="G50" s="502">
        <v>0.3</v>
      </c>
      <c r="H50" s="502"/>
      <c r="I50" s="502">
        <v>0.3</v>
      </c>
      <c r="J50" s="502"/>
      <c r="K50">
        <v>17</v>
      </c>
      <c r="L50">
        <f t="shared" si="4"/>
        <v>5.0999999999999995E-3</v>
      </c>
    </row>
    <row r="51" spans="2:12">
      <c r="B51" s="201"/>
      <c r="C51" s="394"/>
      <c r="D51" s="203"/>
      <c r="E51" s="535" t="s">
        <v>101</v>
      </c>
      <c r="F51" s="536"/>
      <c r="G51" s="537">
        <v>0.1</v>
      </c>
      <c r="H51" s="538"/>
      <c r="I51" s="537">
        <v>0.1</v>
      </c>
      <c r="J51" s="538"/>
      <c r="K51">
        <v>1000</v>
      </c>
      <c r="L51">
        <f t="shared" si="4"/>
        <v>0.1</v>
      </c>
    </row>
    <row r="52" spans="2:12">
      <c r="B52" s="201"/>
      <c r="C52" s="394"/>
      <c r="D52" s="203"/>
      <c r="E52" s="520" t="s">
        <v>74</v>
      </c>
      <c r="F52" s="520"/>
      <c r="G52" s="499" t="s">
        <v>30</v>
      </c>
      <c r="H52" s="499"/>
      <c r="I52" s="500">
        <v>240</v>
      </c>
      <c r="J52" s="500"/>
    </row>
    <row r="53" spans="2:12">
      <c r="B53" s="201"/>
      <c r="C53" s="394"/>
      <c r="D53" s="203"/>
      <c r="E53" s="203"/>
      <c r="F53" s="203"/>
      <c r="G53" s="203"/>
      <c r="H53" s="203"/>
      <c r="I53" s="203"/>
      <c r="J53" s="203"/>
    </row>
    <row r="54" spans="2:12">
      <c r="B54" s="201" t="s">
        <v>341</v>
      </c>
      <c r="C54" s="394">
        <v>200</v>
      </c>
      <c r="D54" s="203"/>
      <c r="E54" s="203"/>
      <c r="F54" s="203"/>
      <c r="G54" s="503" t="s">
        <v>181</v>
      </c>
      <c r="H54" s="503"/>
      <c r="I54" s="503" t="s">
        <v>182</v>
      </c>
      <c r="J54" s="503"/>
      <c r="L54" s="243">
        <f>SUM(L55:L58)</f>
        <v>5.7830000000000004</v>
      </c>
    </row>
    <row r="55" spans="2:12">
      <c r="B55" s="201"/>
      <c r="C55" s="394"/>
      <c r="D55" s="203"/>
      <c r="E55" s="501" t="s">
        <v>184</v>
      </c>
      <c r="F55" s="501"/>
      <c r="G55" s="502">
        <v>45</v>
      </c>
      <c r="H55" s="502"/>
      <c r="I55" s="502">
        <v>40</v>
      </c>
      <c r="J55" s="502"/>
      <c r="K55">
        <v>62.4</v>
      </c>
      <c r="L55">
        <f>G55*K55/1000</f>
        <v>2.8079999999999998</v>
      </c>
    </row>
    <row r="56" spans="2:12">
      <c r="B56" s="201"/>
      <c r="C56" s="394"/>
      <c r="D56" s="203"/>
      <c r="E56" s="518" t="s">
        <v>342</v>
      </c>
      <c r="F56" s="519"/>
      <c r="G56" s="508">
        <v>10</v>
      </c>
      <c r="H56" s="510"/>
      <c r="I56" s="508">
        <v>8</v>
      </c>
      <c r="J56" s="510"/>
      <c r="K56">
        <v>215</v>
      </c>
      <c r="L56">
        <f t="shared" ref="L56:L58" si="5">G56*K56/1000</f>
        <v>2.15</v>
      </c>
    </row>
    <row r="57" spans="2:12">
      <c r="B57" s="201"/>
      <c r="C57" s="394"/>
      <c r="D57" s="203"/>
      <c r="E57" s="518" t="s">
        <v>103</v>
      </c>
      <c r="F57" s="519"/>
      <c r="G57" s="508">
        <v>15</v>
      </c>
      <c r="H57" s="510"/>
      <c r="I57" s="508">
        <v>15</v>
      </c>
      <c r="J57" s="510"/>
      <c r="K57">
        <v>55</v>
      </c>
      <c r="L57">
        <f t="shared" si="5"/>
        <v>0.82499999999999996</v>
      </c>
    </row>
    <row r="58" spans="2:12">
      <c r="B58" s="201"/>
      <c r="C58" s="394"/>
      <c r="D58" s="203"/>
      <c r="E58" s="518" t="s">
        <v>27</v>
      </c>
      <c r="F58" s="519"/>
      <c r="G58" s="508">
        <v>170</v>
      </c>
      <c r="H58" s="510"/>
      <c r="I58" s="508">
        <v>170</v>
      </c>
      <c r="J58" s="510"/>
      <c r="L58">
        <f t="shared" si="5"/>
        <v>0</v>
      </c>
    </row>
    <row r="59" spans="2:12">
      <c r="B59" s="201"/>
      <c r="C59" s="394"/>
      <c r="D59" s="203"/>
      <c r="E59" s="520" t="s">
        <v>74</v>
      </c>
      <c r="F59" s="520"/>
      <c r="G59" s="499" t="s">
        <v>30</v>
      </c>
      <c r="H59" s="499"/>
      <c r="I59" s="500">
        <v>200</v>
      </c>
      <c r="J59" s="500"/>
    </row>
    <row r="60" spans="2:12">
      <c r="B60" s="201"/>
      <c r="C60" s="394"/>
      <c r="D60" s="203"/>
      <c r="E60" s="203"/>
      <c r="F60" s="203"/>
      <c r="G60" s="203"/>
      <c r="H60" s="203"/>
      <c r="I60" s="203"/>
      <c r="J60" s="203"/>
    </row>
    <row r="61" spans="2:12">
      <c r="B61" s="201" t="s">
        <v>263</v>
      </c>
      <c r="C61" s="394">
        <v>40</v>
      </c>
      <c r="D61" s="203"/>
      <c r="E61" s="501" t="s">
        <v>263</v>
      </c>
      <c r="F61" s="501"/>
      <c r="G61" s="502">
        <v>40</v>
      </c>
      <c r="H61" s="502"/>
      <c r="I61" s="502">
        <v>40</v>
      </c>
      <c r="J61" s="502"/>
      <c r="K61">
        <v>29.72</v>
      </c>
      <c r="L61" s="243">
        <f>K61/1000*G61</f>
        <v>1.1888000000000001</v>
      </c>
    </row>
    <row r="62" spans="2:12">
      <c r="B62" s="201"/>
      <c r="C62" s="394"/>
      <c r="D62" s="203"/>
      <c r="E62" s="203"/>
      <c r="F62" s="203"/>
      <c r="G62" s="203"/>
      <c r="H62" s="203"/>
      <c r="I62" s="203"/>
      <c r="J62" s="203"/>
    </row>
    <row r="63" spans="2:12">
      <c r="B63" s="201" t="s">
        <v>4</v>
      </c>
      <c r="C63" s="394">
        <v>30</v>
      </c>
      <c r="D63" s="203"/>
      <c r="E63" s="501" t="s">
        <v>4</v>
      </c>
      <c r="F63" s="501"/>
      <c r="G63" s="502">
        <v>30</v>
      </c>
      <c r="H63" s="502"/>
      <c r="I63" s="502">
        <v>30</v>
      </c>
      <c r="J63" s="502"/>
      <c r="K63">
        <v>45.54</v>
      </c>
      <c r="L63" s="243">
        <f>K63/1000*G63</f>
        <v>1.3661999999999999</v>
      </c>
    </row>
    <row r="64" spans="2:12">
      <c r="B64" s="201" t="s">
        <v>263</v>
      </c>
      <c r="C64" s="202">
        <v>40</v>
      </c>
      <c r="D64" s="203"/>
      <c r="E64" s="501" t="s">
        <v>263</v>
      </c>
      <c r="F64" s="501"/>
      <c r="G64" s="502">
        <v>40</v>
      </c>
      <c r="H64" s="502"/>
      <c r="I64" s="502">
        <v>40</v>
      </c>
      <c r="J64" s="502"/>
      <c r="K64">
        <v>29.72</v>
      </c>
      <c r="L64" s="204">
        <f>K64/1000*G64</f>
        <v>1.1888000000000001</v>
      </c>
    </row>
    <row r="65" spans="1:12">
      <c r="B65" s="201"/>
      <c r="C65" s="202"/>
      <c r="D65" s="203"/>
      <c r="E65" s="203"/>
      <c r="F65" s="203"/>
      <c r="G65" s="203"/>
      <c r="H65" s="203"/>
      <c r="I65" s="203"/>
      <c r="J65" s="203"/>
    </row>
    <row r="66" spans="1:12">
      <c r="B66" s="201" t="s">
        <v>4</v>
      </c>
      <c r="C66" s="202">
        <v>30</v>
      </c>
      <c r="D66" s="203"/>
      <c r="E66" s="501" t="s">
        <v>4</v>
      </c>
      <c r="F66" s="501"/>
      <c r="G66" s="502">
        <v>30</v>
      </c>
      <c r="H66" s="502"/>
      <c r="I66" s="502">
        <v>30</v>
      </c>
      <c r="J66" s="502"/>
      <c r="K66">
        <v>45.54</v>
      </c>
      <c r="L66" s="204">
        <f>K66/1000*G66</f>
        <v>1.3661999999999999</v>
      </c>
    </row>
    <row r="67" spans="1:12">
      <c r="A67" s="42" t="s">
        <v>343</v>
      </c>
      <c r="B67" s="224"/>
      <c r="C67" s="225"/>
      <c r="D67" s="226"/>
      <c r="E67" s="226"/>
      <c r="F67" s="226"/>
      <c r="G67" s="226"/>
      <c r="H67" s="226"/>
      <c r="I67" s="226"/>
      <c r="J67" s="226"/>
      <c r="K67" s="227"/>
      <c r="L67" s="227"/>
    </row>
    <row r="68" spans="1:12">
      <c r="B68" s="201" t="s">
        <v>268</v>
      </c>
      <c r="C68" s="202">
        <v>60</v>
      </c>
      <c r="D68" s="203"/>
      <c r="E68" s="203"/>
      <c r="F68" s="203"/>
      <c r="G68" s="228" t="s">
        <v>181</v>
      </c>
      <c r="H68" s="228"/>
      <c r="I68" s="228" t="s">
        <v>182</v>
      </c>
      <c r="J68" s="228"/>
      <c r="L68" s="229">
        <f>L69+L70+L71</f>
        <v>3.1055000000000001</v>
      </c>
    </row>
    <row r="69" spans="1:12">
      <c r="B69" s="201"/>
      <c r="C69" s="202"/>
      <c r="D69" s="203"/>
      <c r="E69" s="501" t="s">
        <v>116</v>
      </c>
      <c r="F69" s="501"/>
      <c r="G69" s="230">
        <v>76</v>
      </c>
      <c r="H69" s="230"/>
      <c r="I69" s="230">
        <v>57</v>
      </c>
      <c r="J69" s="230"/>
      <c r="K69">
        <v>35</v>
      </c>
      <c r="L69">
        <f>G69*K69/1000</f>
        <v>2.66</v>
      </c>
    </row>
    <row r="70" spans="1:12">
      <c r="B70" s="201"/>
      <c r="C70" s="202"/>
      <c r="D70" s="203"/>
      <c r="E70" s="501" t="s">
        <v>94</v>
      </c>
      <c r="F70" s="501"/>
      <c r="G70" s="230">
        <v>1.5</v>
      </c>
      <c r="H70" s="230"/>
      <c r="I70" s="230">
        <v>1.5</v>
      </c>
      <c r="J70" s="230"/>
      <c r="K70">
        <v>17</v>
      </c>
      <c r="L70">
        <f t="shared" ref="L70:L71" si="6">G70*K70/1000</f>
        <v>2.5499999999999998E-2</v>
      </c>
    </row>
    <row r="71" spans="1:12">
      <c r="B71" s="201"/>
      <c r="C71" s="202"/>
      <c r="D71" s="203"/>
      <c r="E71" s="501" t="s">
        <v>81</v>
      </c>
      <c r="F71" s="501"/>
      <c r="G71" s="230">
        <v>3</v>
      </c>
      <c r="H71" s="230"/>
      <c r="I71" s="230">
        <v>3</v>
      </c>
      <c r="J71" s="230"/>
      <c r="K71">
        <v>140</v>
      </c>
      <c r="L71">
        <f t="shared" si="6"/>
        <v>0.42</v>
      </c>
    </row>
    <row r="72" spans="1:12">
      <c r="B72" s="201"/>
      <c r="C72" s="202"/>
      <c r="D72" s="203"/>
      <c r="E72" s="520" t="s">
        <v>74</v>
      </c>
      <c r="F72" s="520"/>
      <c r="G72" s="499" t="s">
        <v>30</v>
      </c>
      <c r="H72" s="499"/>
      <c r="I72" s="500">
        <v>60</v>
      </c>
      <c r="J72" s="500"/>
    </row>
    <row r="73" spans="1:12">
      <c r="B73" s="201"/>
      <c r="C73" s="202"/>
      <c r="D73" s="203"/>
      <c r="E73" s="205"/>
      <c r="F73" s="205"/>
      <c r="G73" s="206"/>
      <c r="H73" s="206"/>
      <c r="I73" s="207"/>
      <c r="J73" s="207"/>
    </row>
    <row r="74" spans="1:12">
      <c r="B74" s="201"/>
      <c r="C74" s="202"/>
      <c r="D74" s="203"/>
      <c r="E74" s="205"/>
      <c r="F74" s="205"/>
      <c r="G74" s="206"/>
      <c r="H74" s="206"/>
      <c r="I74" s="207"/>
      <c r="J74" s="207"/>
    </row>
    <row r="75" spans="1:12">
      <c r="B75" s="201"/>
      <c r="C75" s="202"/>
      <c r="D75" s="203"/>
      <c r="E75" s="203"/>
      <c r="F75" s="203"/>
      <c r="G75" s="203"/>
      <c r="H75" s="203"/>
      <c r="I75" s="203"/>
      <c r="J75" s="203"/>
    </row>
    <row r="76" spans="1:12">
      <c r="B76" s="208" t="s">
        <v>320</v>
      </c>
      <c r="C76" s="202">
        <v>200</v>
      </c>
      <c r="D76" s="203"/>
      <c r="E76" s="203"/>
      <c r="F76" s="203"/>
      <c r="G76" s="231" t="s">
        <v>181</v>
      </c>
      <c r="H76" s="203"/>
      <c r="I76" s="203"/>
      <c r="J76" s="203"/>
      <c r="L76" s="229">
        <f>SUM(L77:L89)</f>
        <v>3.6983999999999999</v>
      </c>
    </row>
    <row r="77" spans="1:12">
      <c r="B77" s="201"/>
      <c r="C77" s="202"/>
      <c r="D77" s="203"/>
      <c r="E77" s="539" t="s">
        <v>121</v>
      </c>
      <c r="F77" s="539"/>
      <c r="G77" s="203"/>
      <c r="H77" s="232"/>
      <c r="I77" s="203"/>
      <c r="J77" s="203"/>
    </row>
    <row r="78" spans="1:12">
      <c r="B78" s="201"/>
      <c r="C78" s="202"/>
      <c r="D78" s="203"/>
      <c r="E78" s="539" t="s">
        <v>321</v>
      </c>
      <c r="F78" s="539"/>
      <c r="G78" s="232">
        <v>92.4</v>
      </c>
      <c r="H78" s="232"/>
      <c r="I78" s="232">
        <v>60</v>
      </c>
      <c r="J78" s="203"/>
      <c r="L78">
        <f>G78*K78/1000</f>
        <v>0</v>
      </c>
    </row>
    <row r="79" spans="1:12">
      <c r="B79" s="201"/>
      <c r="C79" s="202"/>
      <c r="D79" s="203"/>
      <c r="E79" s="539" t="s">
        <v>122</v>
      </c>
      <c r="F79" s="539"/>
      <c r="G79" s="232">
        <v>100</v>
      </c>
      <c r="H79" s="232"/>
      <c r="I79" s="232">
        <v>60</v>
      </c>
      <c r="J79" s="203"/>
      <c r="L79">
        <f t="shared" ref="L79:L90" si="7">G79*K79/1000</f>
        <v>0</v>
      </c>
    </row>
    <row r="80" spans="1:12">
      <c r="B80" s="201"/>
      <c r="C80" s="202"/>
      <c r="D80" s="203"/>
      <c r="E80" s="539" t="s">
        <v>123</v>
      </c>
      <c r="F80" s="539"/>
      <c r="G80" s="232">
        <v>75</v>
      </c>
      <c r="H80" s="232"/>
      <c r="I80" s="232">
        <v>60</v>
      </c>
      <c r="J80" s="203"/>
      <c r="L80">
        <f t="shared" si="7"/>
        <v>0</v>
      </c>
    </row>
    <row r="81" spans="1:12">
      <c r="B81" s="201"/>
      <c r="C81" s="202"/>
      <c r="D81" s="203"/>
      <c r="E81" s="539" t="s">
        <v>124</v>
      </c>
      <c r="F81" s="539"/>
      <c r="G81" s="232">
        <v>80</v>
      </c>
      <c r="H81" s="232"/>
      <c r="I81" s="232">
        <v>60</v>
      </c>
      <c r="J81" s="203"/>
      <c r="K81">
        <v>27</v>
      </c>
      <c r="L81">
        <f>G81*K81/1000</f>
        <v>2.16</v>
      </c>
    </row>
    <row r="82" spans="1:12">
      <c r="B82" s="201"/>
      <c r="C82" s="202"/>
      <c r="D82" s="203"/>
      <c r="E82" s="539" t="s">
        <v>125</v>
      </c>
      <c r="F82" s="539"/>
      <c r="G82" s="232">
        <v>85.8</v>
      </c>
      <c r="H82" s="232"/>
      <c r="I82" s="232">
        <v>60</v>
      </c>
      <c r="J82" s="203"/>
      <c r="L82">
        <f t="shared" si="7"/>
        <v>0</v>
      </c>
    </row>
    <row r="83" spans="1:12">
      <c r="B83" s="201"/>
      <c r="C83" s="202"/>
      <c r="D83" s="203"/>
      <c r="E83" s="539" t="s">
        <v>322</v>
      </c>
      <c r="F83" s="539"/>
      <c r="G83" s="232">
        <v>8.1999999999999993</v>
      </c>
      <c r="H83" s="232"/>
      <c r="I83" s="232">
        <v>8</v>
      </c>
      <c r="J83" s="203"/>
      <c r="K83">
        <v>90</v>
      </c>
      <c r="L83">
        <f t="shared" si="7"/>
        <v>0.73799999999999988</v>
      </c>
    </row>
    <row r="84" spans="1:12">
      <c r="B84" s="201"/>
      <c r="C84" s="202"/>
      <c r="D84" s="203"/>
      <c r="E84" s="539" t="s">
        <v>323</v>
      </c>
      <c r="F84" s="539"/>
      <c r="G84" s="232"/>
      <c r="H84" s="232"/>
      <c r="I84" s="232"/>
      <c r="J84" s="203"/>
      <c r="L84">
        <f t="shared" si="7"/>
        <v>0</v>
      </c>
    </row>
    <row r="85" spans="1:12">
      <c r="B85" s="201"/>
      <c r="C85" s="202"/>
      <c r="D85" s="203"/>
      <c r="E85" s="539" t="s">
        <v>126</v>
      </c>
      <c r="F85" s="539"/>
      <c r="G85" s="232">
        <v>10.8</v>
      </c>
      <c r="H85" s="232"/>
      <c r="I85" s="232">
        <v>8</v>
      </c>
      <c r="J85" s="203"/>
      <c r="L85">
        <f t="shared" si="7"/>
        <v>0</v>
      </c>
    </row>
    <row r="86" spans="1:12">
      <c r="B86" s="201"/>
      <c r="C86" s="202"/>
      <c r="D86" s="203"/>
      <c r="E86" s="539" t="s">
        <v>127</v>
      </c>
      <c r="F86" s="539"/>
      <c r="G86" s="232">
        <v>10</v>
      </c>
      <c r="H86" s="232"/>
      <c r="I86" s="232">
        <v>8</v>
      </c>
      <c r="J86" s="203"/>
      <c r="K86">
        <v>30</v>
      </c>
      <c r="L86">
        <f t="shared" si="7"/>
        <v>0.3</v>
      </c>
    </row>
    <row r="87" spans="1:12">
      <c r="B87" s="201"/>
      <c r="C87" s="202"/>
      <c r="D87" s="203"/>
      <c r="E87" s="539" t="s">
        <v>324</v>
      </c>
      <c r="F87" s="539"/>
      <c r="G87" s="232">
        <v>10</v>
      </c>
      <c r="H87" s="232"/>
      <c r="I87" s="232">
        <v>8</v>
      </c>
      <c r="J87" s="203"/>
      <c r="K87">
        <v>20</v>
      </c>
      <c r="L87">
        <f t="shared" si="7"/>
        <v>0.2</v>
      </c>
    </row>
    <row r="88" spans="1:12">
      <c r="B88" s="201"/>
      <c r="C88" s="202"/>
      <c r="D88" s="203"/>
      <c r="E88" s="539" t="s">
        <v>325</v>
      </c>
      <c r="F88" s="539"/>
      <c r="G88" s="232">
        <v>2</v>
      </c>
      <c r="H88" s="232"/>
      <c r="I88" s="232">
        <v>2</v>
      </c>
      <c r="J88" s="203"/>
      <c r="K88">
        <v>140</v>
      </c>
      <c r="L88">
        <f t="shared" si="7"/>
        <v>0.28000000000000003</v>
      </c>
    </row>
    <row r="89" spans="1:12">
      <c r="B89" s="201"/>
      <c r="C89" s="202"/>
      <c r="D89" s="203"/>
      <c r="E89" s="539" t="s">
        <v>326</v>
      </c>
      <c r="F89" s="539"/>
      <c r="G89" s="232">
        <v>1.2</v>
      </c>
      <c r="H89" s="232"/>
      <c r="I89" s="232">
        <v>1.2</v>
      </c>
      <c r="J89" s="203"/>
      <c r="K89">
        <v>17</v>
      </c>
      <c r="L89">
        <f t="shared" si="7"/>
        <v>2.0399999999999998E-2</v>
      </c>
    </row>
    <row r="90" spans="1:12">
      <c r="B90" s="201"/>
      <c r="C90" s="202"/>
      <c r="D90" s="203"/>
      <c r="E90" s="539" t="s">
        <v>327</v>
      </c>
      <c r="F90" s="539"/>
      <c r="G90" s="232">
        <v>140</v>
      </c>
      <c r="H90" s="203"/>
      <c r="I90" s="232">
        <v>140</v>
      </c>
      <c r="J90" s="203"/>
      <c r="K90">
        <v>0</v>
      </c>
      <c r="L90">
        <f t="shared" si="7"/>
        <v>0</v>
      </c>
    </row>
    <row r="91" spans="1:12">
      <c r="B91" s="201"/>
      <c r="C91" s="202"/>
      <c r="D91" s="203"/>
      <c r="E91" s="203"/>
      <c r="F91" s="203"/>
      <c r="G91" s="203"/>
      <c r="H91" s="203"/>
      <c r="I91" s="203"/>
      <c r="J91" s="203"/>
    </row>
    <row r="92" spans="1:12">
      <c r="B92" s="208" t="s">
        <v>129</v>
      </c>
      <c r="C92" s="202">
        <v>90</v>
      </c>
      <c r="D92" s="203"/>
      <c r="E92" s="203"/>
      <c r="F92" s="203"/>
      <c r="G92" s="526" t="s">
        <v>181</v>
      </c>
      <c r="H92" s="503"/>
      <c r="I92" s="526" t="s">
        <v>182</v>
      </c>
      <c r="J92" s="503"/>
      <c r="L92" s="229">
        <f>SUM(L93:L100)</f>
        <v>19.844267100000003</v>
      </c>
    </row>
    <row r="93" spans="1:12">
      <c r="A93" s="13"/>
      <c r="B93" s="201"/>
      <c r="C93" s="202"/>
      <c r="D93" s="203"/>
      <c r="E93" s="539" t="s">
        <v>128</v>
      </c>
      <c r="F93" s="539"/>
      <c r="G93" s="209">
        <v>120.67</v>
      </c>
      <c r="H93" s="233"/>
      <c r="I93" s="209">
        <v>55.5</v>
      </c>
      <c r="J93" s="234"/>
      <c r="K93">
        <v>149.13</v>
      </c>
      <c r="L93">
        <f>G93*K93/1000</f>
        <v>17.995517100000001</v>
      </c>
    </row>
    <row r="94" spans="1:12">
      <c r="B94" s="201"/>
      <c r="C94" s="202"/>
      <c r="D94" s="203"/>
      <c r="E94" s="539" t="s">
        <v>27</v>
      </c>
      <c r="F94" s="539"/>
      <c r="G94" s="209">
        <v>16.5</v>
      </c>
      <c r="H94" s="235"/>
      <c r="I94" s="209">
        <v>16.5</v>
      </c>
      <c r="J94" s="236"/>
      <c r="L94">
        <f t="shared" ref="L94:L100" si="8">G94*K94/1000</f>
        <v>0</v>
      </c>
    </row>
    <row r="95" spans="1:12">
      <c r="B95" s="201"/>
      <c r="C95" s="202"/>
      <c r="D95" s="203"/>
      <c r="E95" s="539" t="s">
        <v>119</v>
      </c>
      <c r="F95" s="539"/>
      <c r="G95" s="209">
        <v>25.35</v>
      </c>
      <c r="H95" s="235"/>
      <c r="I95" s="209">
        <v>20.25</v>
      </c>
      <c r="J95" s="236"/>
      <c r="K95">
        <v>30</v>
      </c>
      <c r="L95">
        <f t="shared" si="8"/>
        <v>0.76049999999999995</v>
      </c>
    </row>
    <row r="96" spans="1:12">
      <c r="B96" s="201"/>
      <c r="C96" s="202"/>
      <c r="D96" s="203"/>
      <c r="E96" s="539" t="s">
        <v>86</v>
      </c>
      <c r="F96" s="539"/>
      <c r="G96" s="209">
        <v>16.05</v>
      </c>
      <c r="H96" s="235"/>
      <c r="I96" s="209">
        <v>13.5</v>
      </c>
      <c r="J96" s="236"/>
      <c r="K96">
        <v>20</v>
      </c>
      <c r="L96">
        <f t="shared" si="8"/>
        <v>0.32100000000000001</v>
      </c>
    </row>
    <row r="97" spans="2:12">
      <c r="B97" s="201"/>
      <c r="C97" s="202"/>
      <c r="D97" s="203"/>
      <c r="E97" s="539" t="s">
        <v>117</v>
      </c>
      <c r="F97" s="539"/>
      <c r="G97" s="209">
        <v>4.8</v>
      </c>
      <c r="H97" s="211"/>
      <c r="I97" s="209">
        <v>4.8</v>
      </c>
      <c r="J97" s="236"/>
      <c r="K97">
        <v>140</v>
      </c>
      <c r="L97">
        <f t="shared" si="8"/>
        <v>0.67200000000000004</v>
      </c>
    </row>
    <row r="98" spans="2:12">
      <c r="B98" s="201"/>
      <c r="C98" s="202"/>
      <c r="D98" s="203"/>
      <c r="E98" s="539" t="s">
        <v>28</v>
      </c>
      <c r="F98" s="539"/>
      <c r="G98" s="209">
        <v>1.5</v>
      </c>
      <c r="H98" s="235"/>
      <c r="I98" s="209">
        <v>1.5</v>
      </c>
      <c r="J98" s="236"/>
      <c r="K98">
        <v>55</v>
      </c>
      <c r="L98">
        <f t="shared" si="8"/>
        <v>8.2500000000000004E-2</v>
      </c>
    </row>
    <row r="99" spans="2:12">
      <c r="B99" s="201"/>
      <c r="C99" s="202"/>
      <c r="D99" s="203"/>
      <c r="E99" s="539" t="s">
        <v>29</v>
      </c>
      <c r="F99" s="539"/>
      <c r="G99" s="209">
        <v>0.75</v>
      </c>
      <c r="H99" s="235"/>
      <c r="I99" s="209">
        <v>0.75</v>
      </c>
      <c r="J99" s="236"/>
      <c r="K99">
        <v>17</v>
      </c>
      <c r="L99">
        <f t="shared" si="8"/>
        <v>1.2749999999999999E-2</v>
      </c>
    </row>
    <row r="100" spans="2:12">
      <c r="B100" s="201"/>
      <c r="C100" s="202"/>
      <c r="D100" s="203"/>
      <c r="E100" s="540" t="s">
        <v>328</v>
      </c>
      <c r="F100" s="541"/>
      <c r="G100" s="237"/>
      <c r="H100" s="238"/>
      <c r="I100" s="237"/>
      <c r="J100" s="238"/>
      <c r="L100">
        <f t="shared" si="8"/>
        <v>0</v>
      </c>
    </row>
    <row r="101" spans="2:12">
      <c r="B101" s="201"/>
      <c r="C101" s="202"/>
      <c r="D101" s="203"/>
      <c r="E101" s="203"/>
      <c r="F101" s="203"/>
      <c r="G101" s="203"/>
      <c r="H101" s="203"/>
      <c r="I101" s="203"/>
      <c r="J101" s="203"/>
    </row>
    <row r="102" spans="2:12">
      <c r="B102" s="201" t="s">
        <v>329</v>
      </c>
      <c r="C102" s="202">
        <v>150</v>
      </c>
      <c r="D102" s="203"/>
      <c r="E102" s="203"/>
      <c r="F102" s="203"/>
      <c r="G102" s="503" t="s">
        <v>181</v>
      </c>
      <c r="H102" s="503"/>
      <c r="I102" s="503" t="s">
        <v>182</v>
      </c>
      <c r="J102" s="503"/>
      <c r="L102" s="229">
        <f>SUM(L103:L106)</f>
        <v>7.4011799999999992</v>
      </c>
    </row>
    <row r="103" spans="2:12" ht="14.25" customHeight="1">
      <c r="B103" s="201"/>
      <c r="C103" s="202"/>
      <c r="D103" s="203"/>
      <c r="E103" s="501" t="s">
        <v>330</v>
      </c>
      <c r="F103" s="501"/>
      <c r="G103" s="502">
        <f>170*I107/150</f>
        <v>170</v>
      </c>
      <c r="H103" s="502"/>
      <c r="I103" s="502">
        <f>128*I107/150</f>
        <v>128</v>
      </c>
      <c r="J103" s="502"/>
      <c r="K103">
        <v>27</v>
      </c>
      <c r="L103">
        <f>G103*K103/1000</f>
        <v>4.59</v>
      </c>
    </row>
    <row r="104" spans="2:12" ht="25.5" hidden="1" customHeight="1">
      <c r="B104" s="201"/>
      <c r="C104" s="202"/>
      <c r="D104" s="203"/>
      <c r="E104" s="518" t="s">
        <v>26</v>
      </c>
      <c r="F104" s="519"/>
      <c r="G104" s="508">
        <f>24*I107/150</f>
        <v>24</v>
      </c>
      <c r="H104" s="510"/>
      <c r="I104" s="508">
        <f>24*I107/150</f>
        <v>24</v>
      </c>
      <c r="J104" s="510"/>
      <c r="K104">
        <v>48.17</v>
      </c>
      <c r="L104">
        <f t="shared" ref="L104:L106" si="9">G104*K104/1000</f>
        <v>1.15608</v>
      </c>
    </row>
    <row r="105" spans="2:12">
      <c r="B105" s="201"/>
      <c r="C105" s="202"/>
      <c r="D105" s="203"/>
      <c r="E105" s="518" t="s">
        <v>20</v>
      </c>
      <c r="F105" s="519"/>
      <c r="G105" s="508">
        <f>3*I107/150</f>
        <v>3</v>
      </c>
      <c r="H105" s="510"/>
      <c r="I105" s="508">
        <f>3*I107/150</f>
        <v>3</v>
      </c>
      <c r="J105" s="510"/>
      <c r="K105">
        <v>550</v>
      </c>
      <c r="L105">
        <f t="shared" si="9"/>
        <v>1.65</v>
      </c>
    </row>
    <row r="106" spans="2:12" ht="0.75" hidden="1" customHeight="1">
      <c r="B106" s="201"/>
      <c r="C106" s="202"/>
      <c r="D106" s="203"/>
      <c r="E106" s="501" t="s">
        <v>94</v>
      </c>
      <c r="F106" s="501"/>
      <c r="G106" s="502">
        <f>0.3*I107/150</f>
        <v>0.3</v>
      </c>
      <c r="H106" s="502"/>
      <c r="I106" s="502">
        <f>0.3*I107/150</f>
        <v>0.3</v>
      </c>
      <c r="J106" s="502"/>
      <c r="K106">
        <v>17</v>
      </c>
      <c r="L106">
        <f t="shared" si="9"/>
        <v>5.0999999999999995E-3</v>
      </c>
    </row>
    <row r="107" spans="2:12" ht="14.25" customHeight="1">
      <c r="B107" s="201"/>
      <c r="C107" s="202"/>
      <c r="D107" s="203"/>
      <c r="E107" s="520" t="s">
        <v>74</v>
      </c>
      <c r="F107" s="520"/>
      <c r="G107" s="499" t="s">
        <v>30</v>
      </c>
      <c r="H107" s="499"/>
      <c r="I107" s="500">
        <v>150</v>
      </c>
      <c r="J107" s="500"/>
    </row>
    <row r="108" spans="2:12" ht="3.75" hidden="1" customHeight="1">
      <c r="B108" s="201"/>
      <c r="C108" s="202"/>
      <c r="D108" s="203"/>
      <c r="E108" s="203"/>
      <c r="F108" s="203"/>
      <c r="G108" s="203"/>
      <c r="H108" s="203"/>
      <c r="I108" s="203"/>
      <c r="J108" s="203"/>
    </row>
    <row r="109" spans="2:12">
      <c r="B109" s="201" t="s">
        <v>331</v>
      </c>
      <c r="C109" s="202">
        <v>200</v>
      </c>
      <c r="D109" s="203"/>
      <c r="E109" s="203"/>
      <c r="F109" s="203"/>
      <c r="G109" s="503" t="s">
        <v>181</v>
      </c>
      <c r="H109" s="503"/>
      <c r="I109" s="503" t="s">
        <v>182</v>
      </c>
      <c r="J109" s="503"/>
      <c r="L109" s="229">
        <f>SUM(L110:L112)</f>
        <v>2.7780000000000005</v>
      </c>
    </row>
    <row r="110" spans="2:12">
      <c r="B110" s="201"/>
      <c r="C110" s="202"/>
      <c r="D110" s="203"/>
      <c r="E110" s="501" t="s">
        <v>145</v>
      </c>
      <c r="F110" s="501"/>
      <c r="G110" s="502">
        <f>20*I113/180</f>
        <v>22.222222222222221</v>
      </c>
      <c r="H110" s="502"/>
      <c r="I110" s="502">
        <f>G110</f>
        <v>22.222222222222221</v>
      </c>
      <c r="J110" s="502"/>
      <c r="K110">
        <v>97.51</v>
      </c>
      <c r="L110">
        <f>K110*G110/1000</f>
        <v>2.1668888888888893</v>
      </c>
    </row>
    <row r="111" spans="2:12">
      <c r="B111" s="201"/>
      <c r="C111" s="202"/>
      <c r="D111" s="203"/>
      <c r="E111" s="518" t="s">
        <v>103</v>
      </c>
      <c r="F111" s="519"/>
      <c r="G111" s="508">
        <f>10*I113/180</f>
        <v>11.111111111111111</v>
      </c>
      <c r="H111" s="510"/>
      <c r="I111" s="508">
        <f>G111</f>
        <v>11.111111111111111</v>
      </c>
      <c r="J111" s="510"/>
      <c r="K111">
        <v>55</v>
      </c>
      <c r="L111">
        <f t="shared" ref="L111:L112" si="10">K111*G111/1000</f>
        <v>0.61111111111111105</v>
      </c>
    </row>
    <row r="112" spans="2:12" ht="15.75" customHeight="1">
      <c r="B112" s="201"/>
      <c r="C112" s="202"/>
      <c r="D112" s="203"/>
      <c r="E112" s="518" t="s">
        <v>27</v>
      </c>
      <c r="F112" s="519"/>
      <c r="G112" s="508">
        <f>180*I113/180</f>
        <v>200</v>
      </c>
      <c r="H112" s="510"/>
      <c r="I112" s="508">
        <f>G112</f>
        <v>200</v>
      </c>
      <c r="J112" s="510"/>
      <c r="L112">
        <f t="shared" si="10"/>
        <v>0</v>
      </c>
    </row>
    <row r="113" spans="1:12">
      <c r="B113" s="201"/>
      <c r="C113" s="202"/>
      <c r="D113" s="203"/>
      <c r="E113" s="520" t="s">
        <v>74</v>
      </c>
      <c r="F113" s="520"/>
      <c r="G113" s="499" t="s">
        <v>30</v>
      </c>
      <c r="H113" s="499"/>
      <c r="I113" s="500">
        <v>200</v>
      </c>
      <c r="J113" s="500"/>
    </row>
    <row r="114" spans="1:12">
      <c r="B114" s="201"/>
      <c r="C114" s="202"/>
      <c r="D114" s="203"/>
      <c r="E114" s="203"/>
      <c r="F114" s="203"/>
      <c r="G114" s="203"/>
      <c r="H114" s="203"/>
      <c r="I114" s="203"/>
      <c r="J114" s="203"/>
    </row>
    <row r="115" spans="1:12">
      <c r="B115" s="201" t="s">
        <v>263</v>
      </c>
      <c r="C115" s="202">
        <v>40</v>
      </c>
      <c r="D115" s="203"/>
      <c r="E115" s="501" t="s">
        <v>263</v>
      </c>
      <c r="F115" s="501"/>
      <c r="G115" s="502">
        <v>40</v>
      </c>
      <c r="H115" s="502"/>
      <c r="I115" s="502">
        <v>40</v>
      </c>
      <c r="J115" s="502"/>
      <c r="K115">
        <v>29.72</v>
      </c>
      <c r="L115" s="229">
        <f>K115/1000*G115</f>
        <v>1.1888000000000001</v>
      </c>
    </row>
    <row r="116" spans="1:12">
      <c r="B116" s="201"/>
      <c r="C116" s="202"/>
      <c r="D116" s="203"/>
      <c r="E116" s="203"/>
      <c r="F116" s="203"/>
      <c r="G116" s="203"/>
      <c r="H116" s="203"/>
      <c r="I116" s="203"/>
      <c r="J116" s="203"/>
    </row>
    <row r="117" spans="1:12">
      <c r="B117" s="201" t="s">
        <v>4</v>
      </c>
      <c r="C117" s="202">
        <v>30</v>
      </c>
      <c r="D117" s="203"/>
      <c r="E117" s="501" t="s">
        <v>4</v>
      </c>
      <c r="F117" s="501"/>
      <c r="G117" s="502">
        <v>30</v>
      </c>
      <c r="H117" s="502"/>
      <c r="I117" s="502">
        <v>30</v>
      </c>
      <c r="J117" s="502"/>
      <c r="K117">
        <v>45.54</v>
      </c>
      <c r="L117" s="229">
        <f>K117/1000*G117</f>
        <v>1.3661999999999999</v>
      </c>
    </row>
    <row r="118" spans="1:12">
      <c r="B118" s="201"/>
      <c r="C118" s="202"/>
      <c r="D118" s="203"/>
      <c r="E118" s="203"/>
      <c r="F118" s="203"/>
      <c r="G118" s="203"/>
      <c r="H118" s="203"/>
      <c r="I118" s="203"/>
      <c r="J118" s="203"/>
    </row>
    <row r="119" spans="1:12">
      <c r="A119" s="42" t="s">
        <v>344</v>
      </c>
      <c r="B119" s="239"/>
      <c r="C119" s="240"/>
      <c r="D119" s="241"/>
      <c r="E119" s="241"/>
      <c r="F119" s="241"/>
      <c r="G119" s="241"/>
      <c r="H119" s="241"/>
      <c r="I119" s="241"/>
      <c r="J119" s="241"/>
      <c r="K119" s="242"/>
      <c r="L119" s="242"/>
    </row>
    <row r="120" spans="1:12">
      <c r="B120" s="201" t="s">
        <v>313</v>
      </c>
      <c r="C120" s="394">
        <v>60</v>
      </c>
      <c r="D120" s="203"/>
      <c r="E120" s="203"/>
      <c r="F120" s="203"/>
      <c r="G120" s="503" t="s">
        <v>181</v>
      </c>
      <c r="H120" s="503"/>
      <c r="I120" s="503" t="s">
        <v>182</v>
      </c>
      <c r="J120" s="503"/>
      <c r="L120" s="204">
        <f>SUM(L121:L124)</f>
        <v>3.2913999999999999</v>
      </c>
    </row>
    <row r="121" spans="1:12" ht="15" customHeight="1">
      <c r="B121" s="201"/>
      <c r="C121" s="394"/>
      <c r="D121" s="501" t="s">
        <v>102</v>
      </c>
      <c r="E121" s="501"/>
      <c r="F121" s="501"/>
      <c r="G121" s="502">
        <v>60</v>
      </c>
      <c r="H121" s="502"/>
      <c r="I121" s="502">
        <v>49</v>
      </c>
      <c r="J121" s="502"/>
      <c r="K121">
        <v>45</v>
      </c>
      <c r="L121" s="4">
        <f t="shared" ref="L121:L124" si="11">K121/1000*G121</f>
        <v>2.6999999999999997</v>
      </c>
    </row>
    <row r="122" spans="1:12" ht="15" customHeight="1">
      <c r="B122" s="201"/>
      <c r="C122" s="394"/>
      <c r="D122" s="501" t="s">
        <v>314</v>
      </c>
      <c r="E122" s="501"/>
      <c r="F122" s="501"/>
      <c r="G122" s="502">
        <v>14</v>
      </c>
      <c r="H122" s="502"/>
      <c r="I122" s="502">
        <v>10</v>
      </c>
      <c r="J122" s="502"/>
      <c r="K122">
        <v>30</v>
      </c>
      <c r="L122" s="4">
        <f t="shared" si="11"/>
        <v>0.42</v>
      </c>
    </row>
    <row r="123" spans="1:12" ht="15" customHeight="1">
      <c r="B123" s="201"/>
      <c r="C123" s="394"/>
      <c r="D123" s="501" t="s">
        <v>81</v>
      </c>
      <c r="E123" s="501"/>
      <c r="F123" s="501"/>
      <c r="G123" s="502">
        <v>1.2</v>
      </c>
      <c r="H123" s="502"/>
      <c r="I123" s="502">
        <v>1.2</v>
      </c>
      <c r="J123" s="502"/>
      <c r="K123">
        <v>140</v>
      </c>
      <c r="L123" s="4">
        <f t="shared" si="11"/>
        <v>0.16800000000000001</v>
      </c>
    </row>
    <row r="124" spans="1:12" ht="15" customHeight="1">
      <c r="B124" s="201" t="s">
        <v>315</v>
      </c>
      <c r="C124" s="394"/>
      <c r="D124" s="518" t="s">
        <v>94</v>
      </c>
      <c r="E124" s="519"/>
      <c r="F124" s="519"/>
      <c r="G124" s="508">
        <f>0.2*I125/60</f>
        <v>0.2</v>
      </c>
      <c r="H124" s="510"/>
      <c r="I124" s="508">
        <f>G124</f>
        <v>0.2</v>
      </c>
      <c r="J124" s="510"/>
      <c r="K124">
        <v>17</v>
      </c>
      <c r="L124" s="4">
        <f t="shared" si="11"/>
        <v>3.4000000000000002E-3</v>
      </c>
    </row>
    <row r="125" spans="1:12">
      <c r="B125" s="201"/>
      <c r="C125" s="394"/>
      <c r="D125" s="520" t="s">
        <v>74</v>
      </c>
      <c r="E125" s="520"/>
      <c r="F125" s="520"/>
      <c r="G125" s="499" t="s">
        <v>30</v>
      </c>
      <c r="H125" s="499"/>
      <c r="I125" s="500">
        <v>60</v>
      </c>
      <c r="J125" s="500"/>
    </row>
    <row r="126" spans="1:12">
      <c r="B126" s="201"/>
      <c r="C126" s="394"/>
      <c r="D126" s="384"/>
      <c r="E126" s="384"/>
      <c r="F126" s="384"/>
      <c r="G126" s="385"/>
      <c r="H126" s="385"/>
      <c r="I126" s="386"/>
      <c r="J126" s="386"/>
    </row>
    <row r="127" spans="1:12">
      <c r="B127" s="208" t="s">
        <v>316</v>
      </c>
      <c r="C127" s="394">
        <v>60</v>
      </c>
      <c r="D127" s="384"/>
      <c r="E127" s="384"/>
      <c r="F127" s="384"/>
      <c r="G127" s="385"/>
      <c r="H127" s="385"/>
      <c r="I127" s="386"/>
      <c r="J127" s="386"/>
      <c r="L127" s="204">
        <f>SUM(L128:L132)</f>
        <v>13.223399999999998</v>
      </c>
    </row>
    <row r="128" spans="1:12">
      <c r="B128" s="201"/>
      <c r="C128" s="394"/>
      <c r="D128" s="419" t="s">
        <v>317</v>
      </c>
      <c r="E128" s="416"/>
      <c r="F128" s="416"/>
      <c r="G128" s="418">
        <v>69.42</v>
      </c>
      <c r="H128" s="394"/>
      <c r="I128" s="418">
        <v>48.6</v>
      </c>
      <c r="J128" s="386"/>
      <c r="K128">
        <v>180</v>
      </c>
      <c r="L128" s="4">
        <f t="shared" ref="L128:L132" si="12">K128/1000*G128</f>
        <v>12.4956</v>
      </c>
    </row>
    <row r="129" spans="1:12">
      <c r="B129" s="201"/>
      <c r="C129" s="394"/>
      <c r="D129" s="419" t="s">
        <v>98</v>
      </c>
      <c r="E129" s="416"/>
      <c r="F129" s="416"/>
      <c r="G129" s="418">
        <v>7.5</v>
      </c>
      <c r="H129" s="394"/>
      <c r="I129" s="418">
        <v>6</v>
      </c>
      <c r="J129" s="386"/>
      <c r="L129" s="4">
        <f t="shared" si="12"/>
        <v>0</v>
      </c>
    </row>
    <row r="130" spans="1:12">
      <c r="B130" s="201"/>
      <c r="C130" s="394"/>
      <c r="D130" s="419" t="s">
        <v>99</v>
      </c>
      <c r="E130" s="416"/>
      <c r="F130" s="416"/>
      <c r="G130" s="418">
        <v>7.14</v>
      </c>
      <c r="H130" s="394"/>
      <c r="I130" s="418">
        <v>6</v>
      </c>
      <c r="J130" s="386"/>
      <c r="K130">
        <v>20</v>
      </c>
      <c r="L130" s="4">
        <f t="shared" si="12"/>
        <v>0.14280000000000001</v>
      </c>
    </row>
    <row r="131" spans="1:12">
      <c r="B131" s="201"/>
      <c r="C131" s="394"/>
      <c r="D131" s="419" t="s">
        <v>28</v>
      </c>
      <c r="E131" s="416"/>
      <c r="F131" s="416"/>
      <c r="G131" s="418">
        <v>3</v>
      </c>
      <c r="H131" s="394"/>
      <c r="I131" s="418">
        <v>3</v>
      </c>
      <c r="J131" s="386"/>
      <c r="K131">
        <v>55</v>
      </c>
      <c r="L131" s="4">
        <f t="shared" si="12"/>
        <v>0.16500000000000001</v>
      </c>
    </row>
    <row r="132" spans="1:12">
      <c r="B132" s="201"/>
      <c r="C132" s="394"/>
      <c r="D132" s="419" t="s">
        <v>81</v>
      </c>
      <c r="E132" s="416"/>
      <c r="F132" s="416"/>
      <c r="G132" s="418">
        <v>3</v>
      </c>
      <c r="H132" s="394"/>
      <c r="I132" s="418">
        <v>3</v>
      </c>
      <c r="J132" s="386"/>
      <c r="K132">
        <v>140</v>
      </c>
      <c r="L132" s="4">
        <f t="shared" si="12"/>
        <v>0.42000000000000004</v>
      </c>
    </row>
    <row r="133" spans="1:12">
      <c r="B133" s="201"/>
      <c r="C133" s="394"/>
      <c r="D133" s="322" t="s">
        <v>21</v>
      </c>
      <c r="E133" s="416"/>
      <c r="F133" s="416"/>
      <c r="G133" s="528">
        <v>60</v>
      </c>
      <c r="H133" s="528"/>
      <c r="I133" s="417"/>
      <c r="J133" s="386"/>
    </row>
    <row r="134" spans="1:12">
      <c r="B134" s="201"/>
      <c r="C134" s="394"/>
      <c r="D134" s="203"/>
      <c r="E134" s="203"/>
      <c r="F134" s="203"/>
      <c r="G134" s="203"/>
      <c r="H134" s="203"/>
      <c r="I134" s="203"/>
      <c r="J134" s="203"/>
    </row>
    <row r="135" spans="1:12">
      <c r="B135" s="210" t="s">
        <v>318</v>
      </c>
      <c r="C135" s="394">
        <v>200</v>
      </c>
      <c r="D135" s="203"/>
      <c r="E135" s="203"/>
      <c r="F135" s="203"/>
      <c r="G135" s="503" t="s">
        <v>181</v>
      </c>
      <c r="H135" s="503"/>
      <c r="I135" s="503" t="s">
        <v>182</v>
      </c>
      <c r="J135" s="503"/>
      <c r="L135" s="204">
        <f>SUM(L136:L142)</f>
        <v>3.1101999999999999</v>
      </c>
    </row>
    <row r="136" spans="1:12">
      <c r="B136" s="201"/>
      <c r="C136" s="394"/>
      <c r="D136" s="511" t="s">
        <v>84</v>
      </c>
      <c r="E136" s="511"/>
      <c r="F136" s="511"/>
      <c r="G136" s="542">
        <v>53.4</v>
      </c>
      <c r="H136" s="543"/>
      <c r="I136" s="542">
        <v>40</v>
      </c>
      <c r="J136" s="543"/>
      <c r="K136">
        <v>27</v>
      </c>
      <c r="L136" s="4">
        <f t="shared" ref="L136:L141" si="13">K136/1000*G136</f>
        <v>1.4418</v>
      </c>
    </row>
    <row r="137" spans="1:12">
      <c r="A137" s="13"/>
      <c r="B137" s="201"/>
      <c r="C137" s="394"/>
      <c r="D137" s="511" t="s">
        <v>100</v>
      </c>
      <c r="E137" s="511"/>
      <c r="F137" s="511"/>
      <c r="G137" s="516">
        <v>16.2</v>
      </c>
      <c r="H137" s="517"/>
      <c r="I137" s="516">
        <v>16</v>
      </c>
      <c r="J137" s="517"/>
      <c r="K137">
        <v>37</v>
      </c>
      <c r="L137" s="4">
        <f t="shared" si="13"/>
        <v>0.59939999999999993</v>
      </c>
    </row>
    <row r="138" spans="1:12">
      <c r="B138" s="201"/>
      <c r="C138" s="394"/>
      <c r="D138" s="511" t="s">
        <v>85</v>
      </c>
      <c r="E138" s="511"/>
      <c r="F138" s="511"/>
      <c r="G138" s="516">
        <v>10</v>
      </c>
      <c r="H138" s="517"/>
      <c r="I138" s="516">
        <v>8</v>
      </c>
      <c r="J138" s="517"/>
      <c r="K138">
        <v>30</v>
      </c>
      <c r="L138" s="4">
        <f t="shared" si="13"/>
        <v>0.3</v>
      </c>
    </row>
    <row r="139" spans="1:12">
      <c r="B139" s="201"/>
      <c r="C139" s="394"/>
      <c r="D139" s="511" t="s">
        <v>86</v>
      </c>
      <c r="E139" s="511"/>
      <c r="F139" s="511"/>
      <c r="G139" s="516">
        <v>9.6</v>
      </c>
      <c r="H139" s="517"/>
      <c r="I139" s="516">
        <v>8</v>
      </c>
      <c r="J139" s="517"/>
      <c r="K139">
        <v>20</v>
      </c>
      <c r="L139" s="4">
        <f t="shared" si="13"/>
        <v>0.192</v>
      </c>
    </row>
    <row r="140" spans="1:12">
      <c r="B140" s="201"/>
      <c r="C140" s="394"/>
      <c r="D140" s="511" t="s">
        <v>81</v>
      </c>
      <c r="E140" s="511"/>
      <c r="F140" s="511"/>
      <c r="G140" s="516">
        <v>4</v>
      </c>
      <c r="H140" s="517"/>
      <c r="I140" s="516">
        <v>4</v>
      </c>
      <c r="J140" s="517"/>
      <c r="K140">
        <v>140</v>
      </c>
      <c r="L140" s="4">
        <f t="shared" si="13"/>
        <v>0.56000000000000005</v>
      </c>
    </row>
    <row r="141" spans="1:12">
      <c r="B141" s="201"/>
      <c r="C141" s="394"/>
      <c r="D141" s="511" t="s">
        <v>221</v>
      </c>
      <c r="E141" s="511"/>
      <c r="F141" s="511"/>
      <c r="G141" s="516">
        <v>1</v>
      </c>
      <c r="H141" s="517"/>
      <c r="I141" s="516">
        <v>1</v>
      </c>
      <c r="J141" s="517"/>
      <c r="K141">
        <v>17</v>
      </c>
      <c r="L141" s="4">
        <f t="shared" si="13"/>
        <v>1.7000000000000001E-2</v>
      </c>
    </row>
    <row r="142" spans="1:12">
      <c r="B142" s="201"/>
      <c r="C142" s="394"/>
      <c r="D142" s="511" t="s">
        <v>319</v>
      </c>
      <c r="E142" s="511"/>
      <c r="F142" s="511"/>
      <c r="G142" s="508">
        <v>200</v>
      </c>
      <c r="H142" s="509"/>
      <c r="I142" s="509"/>
      <c r="J142" s="510"/>
      <c r="L142" s="4"/>
    </row>
    <row r="143" spans="1:12">
      <c r="B143" s="201"/>
      <c r="C143" s="394"/>
      <c r="D143" s="203"/>
      <c r="E143" s="203"/>
      <c r="F143" s="203"/>
      <c r="G143" s="203"/>
      <c r="H143" s="203"/>
      <c r="I143" s="203"/>
      <c r="J143" s="203"/>
    </row>
    <row r="144" spans="1:12">
      <c r="B144" s="212" t="s">
        <v>218</v>
      </c>
      <c r="C144" s="208">
        <v>90</v>
      </c>
      <c r="D144" s="213"/>
      <c r="E144" s="213"/>
      <c r="F144" s="213"/>
      <c r="G144" s="503" t="s">
        <v>181</v>
      </c>
      <c r="H144" s="503"/>
      <c r="I144" s="503" t="s">
        <v>182</v>
      </c>
      <c r="J144" s="503"/>
      <c r="K144" s="4"/>
      <c r="L144" s="214">
        <f>SUM(L145:L153)</f>
        <v>37.251000000000005</v>
      </c>
    </row>
    <row r="145" spans="2:12">
      <c r="B145" s="215"/>
      <c r="C145" s="208"/>
      <c r="D145" s="512"/>
      <c r="E145" s="513"/>
      <c r="F145" s="513"/>
      <c r="G145" s="502"/>
      <c r="H145" s="502"/>
      <c r="I145" s="217"/>
      <c r="J145" s="218"/>
      <c r="K145" s="4"/>
      <c r="L145" s="4">
        <f>K145/1000*G145</f>
        <v>0</v>
      </c>
    </row>
    <row r="146" spans="2:12">
      <c r="B146" s="215"/>
      <c r="C146" s="208"/>
      <c r="D146" s="504" t="s">
        <v>219</v>
      </c>
      <c r="E146" s="505"/>
      <c r="F146" s="505"/>
      <c r="G146" s="514">
        <v>127.8</v>
      </c>
      <c r="H146" s="515"/>
      <c r="I146" s="506">
        <v>91.8</v>
      </c>
      <c r="J146" s="507"/>
      <c r="K146" s="4">
        <v>270</v>
      </c>
      <c r="L146" s="4">
        <f t="shared" ref="L146:L153" si="14">K146/1000*G146</f>
        <v>34.506</v>
      </c>
    </row>
    <row r="147" spans="2:12">
      <c r="B147" s="215"/>
      <c r="C147" s="208"/>
      <c r="D147" s="504" t="s">
        <v>81</v>
      </c>
      <c r="E147" s="505"/>
      <c r="F147" s="505"/>
      <c r="G147" s="506">
        <v>10.8</v>
      </c>
      <c r="H147" s="507"/>
      <c r="I147" s="506">
        <v>10.8</v>
      </c>
      <c r="J147" s="507"/>
      <c r="K147" s="4">
        <v>140</v>
      </c>
      <c r="L147" s="4">
        <f t="shared" si="14"/>
        <v>1.5120000000000002</v>
      </c>
    </row>
    <row r="148" spans="2:12">
      <c r="B148" s="215"/>
      <c r="C148" s="208"/>
      <c r="D148" s="504" t="s">
        <v>171</v>
      </c>
      <c r="E148" s="505"/>
      <c r="F148" s="505"/>
      <c r="G148" s="506">
        <v>16.2</v>
      </c>
      <c r="H148" s="507"/>
      <c r="I148" s="506">
        <v>16.2</v>
      </c>
      <c r="J148" s="507"/>
      <c r="K148" s="4">
        <v>20</v>
      </c>
      <c r="L148" s="4">
        <f t="shared" si="14"/>
        <v>0.32400000000000001</v>
      </c>
    </row>
    <row r="149" spans="2:12">
      <c r="B149" s="215"/>
      <c r="C149" s="208"/>
      <c r="D149" s="504" t="s">
        <v>111</v>
      </c>
      <c r="E149" s="505"/>
      <c r="F149" s="505"/>
      <c r="G149" s="506">
        <v>5.4</v>
      </c>
      <c r="H149" s="507"/>
      <c r="I149" s="506">
        <v>5.4</v>
      </c>
      <c r="J149" s="507"/>
      <c r="K149" s="4">
        <v>37</v>
      </c>
      <c r="L149" s="4">
        <f t="shared" si="14"/>
        <v>0.19980000000000001</v>
      </c>
    </row>
    <row r="150" spans="2:12">
      <c r="B150" s="215"/>
      <c r="C150" s="208"/>
      <c r="D150" s="504" t="s">
        <v>220</v>
      </c>
      <c r="E150" s="505"/>
      <c r="F150" s="505"/>
      <c r="G150" s="506">
        <v>5.4</v>
      </c>
      <c r="H150" s="507"/>
      <c r="I150" s="506">
        <v>5.4</v>
      </c>
      <c r="J150" s="507"/>
      <c r="K150" s="4">
        <v>120</v>
      </c>
      <c r="L150" s="4">
        <f t="shared" si="14"/>
        <v>0.64800000000000002</v>
      </c>
    </row>
    <row r="151" spans="2:12">
      <c r="B151" s="215"/>
      <c r="C151" s="208"/>
      <c r="D151" s="504" t="s">
        <v>221</v>
      </c>
      <c r="E151" s="505"/>
      <c r="F151" s="505"/>
      <c r="G151" s="506">
        <v>3.6</v>
      </c>
      <c r="H151" s="507"/>
      <c r="I151" s="506">
        <v>3.6</v>
      </c>
      <c r="J151" s="507"/>
      <c r="K151" s="4">
        <v>17</v>
      </c>
      <c r="L151" s="4">
        <f t="shared" si="14"/>
        <v>6.1200000000000004E-2</v>
      </c>
    </row>
    <row r="152" spans="2:12">
      <c r="B152" s="215"/>
      <c r="C152" s="208"/>
      <c r="D152" s="504" t="s">
        <v>21</v>
      </c>
      <c r="E152" s="505"/>
      <c r="F152" s="505"/>
      <c r="G152" s="508">
        <v>90</v>
      </c>
      <c r="H152" s="509"/>
      <c r="I152" s="509"/>
      <c r="J152" s="510"/>
      <c r="K152" s="4"/>
      <c r="L152" s="4">
        <f t="shared" si="14"/>
        <v>0</v>
      </c>
    </row>
    <row r="153" spans="2:12">
      <c r="B153" s="215"/>
      <c r="C153" s="208"/>
      <c r="D153" s="219"/>
      <c r="E153" s="220"/>
      <c r="F153" s="220"/>
      <c r="G153" s="508"/>
      <c r="H153" s="510"/>
      <c r="I153" s="508"/>
      <c r="J153" s="510"/>
      <c r="K153" s="4"/>
      <c r="L153" s="4">
        <f t="shared" si="14"/>
        <v>0</v>
      </c>
    </row>
    <row r="154" spans="2:12">
      <c r="B154" s="215"/>
      <c r="C154" s="208"/>
      <c r="D154" s="221"/>
      <c r="E154" s="222"/>
      <c r="F154" s="222"/>
      <c r="G154" s="499"/>
      <c r="H154" s="499"/>
      <c r="I154" s="500"/>
      <c r="J154" s="500"/>
    </row>
    <row r="155" spans="2:12">
      <c r="B155" s="201"/>
      <c r="C155" s="394"/>
      <c r="D155" s="203"/>
      <c r="E155" s="203"/>
      <c r="F155" s="203"/>
      <c r="G155" s="203"/>
      <c r="H155" s="203"/>
      <c r="I155" s="203"/>
      <c r="J155" s="203"/>
    </row>
    <row r="156" spans="2:12">
      <c r="B156" s="215" t="s">
        <v>222</v>
      </c>
      <c r="C156" s="208">
        <v>150</v>
      </c>
      <c r="D156" s="213"/>
      <c r="E156" s="213"/>
      <c r="F156" s="213"/>
      <c r="G156" s="503" t="s">
        <v>181</v>
      </c>
      <c r="H156" s="503"/>
      <c r="I156" s="503" t="s">
        <v>182</v>
      </c>
      <c r="J156" s="503"/>
      <c r="K156" s="4"/>
      <c r="L156" s="214">
        <f>SUM(L157:L159)</f>
        <v>4.5151000000000003</v>
      </c>
    </row>
    <row r="157" spans="2:12">
      <c r="B157" s="201"/>
      <c r="C157" s="394"/>
      <c r="D157" s="501" t="s">
        <v>105</v>
      </c>
      <c r="E157" s="501"/>
      <c r="F157" s="501"/>
      <c r="G157" s="502">
        <v>52</v>
      </c>
      <c r="H157" s="502"/>
      <c r="I157" s="502">
        <v>52</v>
      </c>
      <c r="J157" s="502"/>
      <c r="K157" s="4">
        <v>55</v>
      </c>
      <c r="L157" s="4">
        <f>G157*K157/1000</f>
        <v>2.86</v>
      </c>
    </row>
    <row r="158" spans="2:12">
      <c r="B158" s="201"/>
      <c r="C158" s="394"/>
      <c r="D158" s="501" t="s">
        <v>94</v>
      </c>
      <c r="E158" s="501"/>
      <c r="F158" s="501"/>
      <c r="G158" s="502">
        <v>0.3</v>
      </c>
      <c r="H158" s="502"/>
      <c r="I158" s="502">
        <v>0.3</v>
      </c>
      <c r="J158" s="502"/>
      <c r="K158" s="4">
        <v>17</v>
      </c>
      <c r="L158" s="4">
        <f>G158*K158/1000</f>
        <v>5.0999999999999995E-3</v>
      </c>
    </row>
    <row r="159" spans="2:12">
      <c r="B159" s="201"/>
      <c r="C159" s="394"/>
      <c r="D159" s="501" t="s">
        <v>20</v>
      </c>
      <c r="E159" s="501"/>
      <c r="F159" s="501"/>
      <c r="G159" s="502">
        <v>3</v>
      </c>
      <c r="H159" s="502"/>
      <c r="I159" s="502">
        <v>3</v>
      </c>
      <c r="J159" s="502"/>
      <c r="K159" s="4">
        <v>550</v>
      </c>
      <c r="L159" s="4">
        <f>G159*K159/1000</f>
        <v>1.65</v>
      </c>
    </row>
    <row r="160" spans="2:12">
      <c r="B160" s="201"/>
      <c r="C160" s="394"/>
      <c r="D160" s="520" t="s">
        <v>74</v>
      </c>
      <c r="E160" s="520"/>
      <c r="F160" s="520"/>
      <c r="G160" s="499" t="s">
        <v>30</v>
      </c>
      <c r="H160" s="499"/>
      <c r="I160" s="500">
        <v>150</v>
      </c>
      <c r="J160" s="500"/>
      <c r="K160" s="44"/>
      <c r="L160" s="44"/>
    </row>
    <row r="161" spans="1:12">
      <c r="B161" s="201"/>
      <c r="C161" s="394"/>
      <c r="D161" s="213"/>
      <c r="E161" s="213"/>
      <c r="F161" s="213"/>
      <c r="G161" s="203"/>
      <c r="H161" s="203"/>
      <c r="I161" s="203"/>
      <c r="J161" s="203"/>
    </row>
    <row r="162" spans="1:12">
      <c r="B162" s="201" t="s">
        <v>5</v>
      </c>
      <c r="C162" s="394">
        <v>200</v>
      </c>
      <c r="D162" s="203"/>
      <c r="E162" s="203"/>
      <c r="F162" s="203"/>
      <c r="G162" s="503" t="s">
        <v>181</v>
      </c>
      <c r="H162" s="503"/>
      <c r="I162" s="503" t="s">
        <v>182</v>
      </c>
      <c r="J162" s="503"/>
      <c r="L162" s="204">
        <f>L163+L164+L165</f>
        <v>2.2000000000000002</v>
      </c>
    </row>
    <row r="163" spans="1:12">
      <c r="B163" s="201"/>
      <c r="C163" s="394"/>
      <c r="D163" s="501" t="s">
        <v>157</v>
      </c>
      <c r="E163" s="501"/>
      <c r="F163" s="501"/>
      <c r="G163" s="502">
        <v>0.6</v>
      </c>
      <c r="H163" s="502"/>
      <c r="I163" s="502">
        <v>0.6</v>
      </c>
      <c r="J163" s="502"/>
      <c r="K163">
        <v>500</v>
      </c>
      <c r="L163" s="4">
        <f t="shared" ref="L163:L165" si="15">K163/1000*G163</f>
        <v>0.3</v>
      </c>
    </row>
    <row r="164" spans="1:12">
      <c r="B164" s="201"/>
      <c r="C164" s="394"/>
      <c r="D164" s="518" t="s">
        <v>103</v>
      </c>
      <c r="E164" s="519"/>
      <c r="F164" s="519"/>
      <c r="G164" s="508">
        <v>15</v>
      </c>
      <c r="H164" s="510"/>
      <c r="I164" s="508">
        <v>15</v>
      </c>
      <c r="J164" s="510"/>
      <c r="K164">
        <v>55</v>
      </c>
      <c r="L164" s="4">
        <f t="shared" si="15"/>
        <v>0.82499999999999996</v>
      </c>
    </row>
    <row r="165" spans="1:12">
      <c r="B165" s="201"/>
      <c r="C165" s="394"/>
      <c r="D165" s="518" t="s">
        <v>172</v>
      </c>
      <c r="E165" s="519"/>
      <c r="F165" s="519"/>
      <c r="G165" s="508">
        <v>5</v>
      </c>
      <c r="H165" s="510"/>
      <c r="I165" s="508">
        <v>4</v>
      </c>
      <c r="J165" s="510"/>
      <c r="K165">
        <v>215</v>
      </c>
      <c r="L165" s="4">
        <f t="shared" si="15"/>
        <v>1.075</v>
      </c>
    </row>
    <row r="166" spans="1:12">
      <c r="B166" s="201"/>
      <c r="C166" s="394"/>
      <c r="D166" s="520" t="s">
        <v>74</v>
      </c>
      <c r="E166" s="520"/>
      <c r="F166" s="520"/>
      <c r="G166" s="499" t="s">
        <v>30</v>
      </c>
      <c r="H166" s="499"/>
      <c r="I166" s="499" t="s">
        <v>223</v>
      </c>
      <c r="J166" s="499"/>
    </row>
    <row r="167" spans="1:12">
      <c r="B167" s="201"/>
      <c r="C167" s="394"/>
      <c r="D167" s="203"/>
      <c r="E167" s="203"/>
      <c r="F167" s="203"/>
      <c r="G167" s="203"/>
      <c r="H167" s="203"/>
      <c r="I167" s="203"/>
      <c r="J167" s="203"/>
    </row>
    <row r="168" spans="1:12">
      <c r="B168" s="201" t="s">
        <v>263</v>
      </c>
      <c r="C168" s="394">
        <v>40</v>
      </c>
      <c r="D168" s="501" t="s">
        <v>263</v>
      </c>
      <c r="E168" s="501"/>
      <c r="F168" s="501"/>
      <c r="G168" s="502">
        <v>40</v>
      </c>
      <c r="H168" s="502"/>
      <c r="I168" s="502">
        <v>40</v>
      </c>
      <c r="J168" s="502"/>
      <c r="K168">
        <v>29.72</v>
      </c>
      <c r="L168" s="204">
        <f>K168/1000*G168</f>
        <v>1.1888000000000001</v>
      </c>
    </row>
    <row r="169" spans="1:12">
      <c r="B169" s="201"/>
      <c r="C169" s="394"/>
      <c r="D169" s="203"/>
      <c r="E169" s="203"/>
      <c r="F169" s="203"/>
      <c r="G169" s="203"/>
      <c r="H169" s="203"/>
      <c r="I169" s="203"/>
      <c r="J169" s="203"/>
    </row>
    <row r="170" spans="1:12">
      <c r="B170" s="201" t="s">
        <v>4</v>
      </c>
      <c r="C170" s="394">
        <v>30</v>
      </c>
      <c r="D170" s="501" t="s">
        <v>4</v>
      </c>
      <c r="E170" s="501"/>
      <c r="F170" s="501"/>
      <c r="G170" s="502">
        <v>30</v>
      </c>
      <c r="H170" s="502"/>
      <c r="I170" s="502">
        <v>30</v>
      </c>
      <c r="J170" s="502"/>
      <c r="K170">
        <v>45.54</v>
      </c>
      <c r="L170" s="204">
        <f>K170/1000*G170</f>
        <v>1.3661999999999999</v>
      </c>
    </row>
    <row r="171" spans="1:12">
      <c r="A171" s="241" t="s">
        <v>349</v>
      </c>
      <c r="B171" s="241"/>
      <c r="C171" s="241"/>
      <c r="D171" s="239"/>
      <c r="E171" s="240"/>
      <c r="F171" s="241"/>
      <c r="G171" s="241"/>
      <c r="H171" s="241"/>
      <c r="I171" s="241"/>
      <c r="J171" s="241"/>
      <c r="K171" s="241"/>
      <c r="L171" s="241"/>
    </row>
    <row r="172" spans="1:12">
      <c r="A172" s="253"/>
      <c r="B172" s="253" t="s">
        <v>345</v>
      </c>
      <c r="C172" s="201" t="s">
        <v>268</v>
      </c>
      <c r="D172" s="309"/>
      <c r="E172" s="203"/>
      <c r="F172" s="203"/>
      <c r="G172" s="203"/>
      <c r="H172" s="294" t="s">
        <v>181</v>
      </c>
      <c r="I172" s="294"/>
      <c r="J172" s="294" t="s">
        <v>182</v>
      </c>
      <c r="K172" s="294"/>
    </row>
    <row r="173" spans="1:12">
      <c r="A173" s="203"/>
      <c r="B173" s="201" t="s">
        <v>268</v>
      </c>
      <c r="C173" s="309"/>
      <c r="D173" s="203"/>
      <c r="E173" s="203"/>
      <c r="F173" s="203"/>
      <c r="G173" s="294" t="s">
        <v>181</v>
      </c>
      <c r="H173" s="294"/>
      <c r="I173" s="294" t="s">
        <v>182</v>
      </c>
      <c r="J173" s="294"/>
      <c r="L173" s="254">
        <f>SUM(L174:L176)</f>
        <v>3.1055000000000001</v>
      </c>
    </row>
    <row r="174" spans="1:12">
      <c r="A174" s="203"/>
      <c r="B174" s="201"/>
      <c r="C174" s="309">
        <v>60</v>
      </c>
      <c r="D174" s="203"/>
      <c r="E174" s="282" t="s">
        <v>116</v>
      </c>
      <c r="F174" s="282"/>
      <c r="G174" s="283">
        <v>76</v>
      </c>
      <c r="H174" s="283"/>
      <c r="I174" s="283">
        <v>57</v>
      </c>
      <c r="J174" s="283"/>
      <c r="K174">
        <v>35</v>
      </c>
      <c r="L174">
        <f>G174*K174/1000</f>
        <v>2.66</v>
      </c>
    </row>
    <row r="175" spans="1:12">
      <c r="A175" s="203"/>
      <c r="B175" s="201"/>
      <c r="C175" s="309"/>
      <c r="D175" s="203"/>
      <c r="E175" s="282" t="s">
        <v>94</v>
      </c>
      <c r="F175" s="282"/>
      <c r="G175" s="283">
        <v>1.5</v>
      </c>
      <c r="H175" s="283"/>
      <c r="I175" s="283">
        <v>1.5</v>
      </c>
      <c r="J175" s="283"/>
      <c r="K175">
        <v>17</v>
      </c>
      <c r="L175">
        <f t="shared" ref="L175:L176" si="16">G175*K175/1000</f>
        <v>2.5499999999999998E-2</v>
      </c>
    </row>
    <row r="176" spans="1:12">
      <c r="A176" s="203"/>
      <c r="B176" s="201"/>
      <c r="C176" s="309"/>
      <c r="D176" s="203"/>
      <c r="E176" s="282" t="s">
        <v>81</v>
      </c>
      <c r="F176" s="282"/>
      <c r="G176" s="283">
        <v>3</v>
      </c>
      <c r="H176" s="283"/>
      <c r="I176" s="283">
        <v>3</v>
      </c>
      <c r="J176" s="283"/>
      <c r="K176">
        <v>140</v>
      </c>
      <c r="L176">
        <f t="shared" si="16"/>
        <v>0.42</v>
      </c>
    </row>
    <row r="177" spans="1:12">
      <c r="A177" s="203"/>
      <c r="B177" s="201"/>
      <c r="C177" s="309"/>
      <c r="D177" s="203"/>
      <c r="E177" s="288" t="s">
        <v>74</v>
      </c>
      <c r="F177" s="288"/>
      <c r="G177" s="289" t="s">
        <v>30</v>
      </c>
      <c r="H177" s="289"/>
      <c r="I177" s="290">
        <v>60</v>
      </c>
      <c r="J177" s="290"/>
    </row>
    <row r="178" spans="1:12">
      <c r="A178" s="203"/>
      <c r="B178" s="201"/>
      <c r="C178" s="309"/>
      <c r="D178" s="203"/>
      <c r="E178" s="203"/>
      <c r="F178" s="203"/>
      <c r="G178" s="203"/>
      <c r="H178" s="203"/>
      <c r="I178" s="203"/>
      <c r="J178" s="203"/>
    </row>
    <row r="179" spans="1:12">
      <c r="A179" s="203"/>
      <c r="B179" s="208" t="s">
        <v>283</v>
      </c>
      <c r="C179" s="309"/>
      <c r="D179" s="203"/>
      <c r="E179" s="203"/>
      <c r="F179" s="203"/>
      <c r="G179" s="337" t="s">
        <v>181</v>
      </c>
      <c r="H179" s="294"/>
      <c r="I179" s="337" t="s">
        <v>182</v>
      </c>
      <c r="J179" s="294"/>
      <c r="L179" s="254">
        <f>SUM(L180:L190)</f>
        <v>3.0303999999999998</v>
      </c>
    </row>
    <row r="180" spans="1:12">
      <c r="A180" s="203"/>
      <c r="B180" s="201"/>
      <c r="C180" s="309">
        <v>200</v>
      </c>
      <c r="D180" s="203"/>
      <c r="E180" s="247" t="s">
        <v>84</v>
      </c>
      <c r="F180" s="216"/>
      <c r="G180" s="293">
        <v>75</v>
      </c>
      <c r="H180" s="233"/>
      <c r="I180" s="293">
        <v>60</v>
      </c>
      <c r="J180" s="234"/>
      <c r="K180">
        <v>27</v>
      </c>
      <c r="L180">
        <f>K180*G180/1000</f>
        <v>2.0249999999999999</v>
      </c>
    </row>
    <row r="181" spans="1:12">
      <c r="A181" s="203"/>
      <c r="B181" s="201"/>
      <c r="C181" s="309"/>
      <c r="D181" s="203"/>
      <c r="E181" s="247" t="s">
        <v>85</v>
      </c>
      <c r="F181" s="211"/>
      <c r="G181" s="293">
        <v>10</v>
      </c>
      <c r="H181" s="235"/>
      <c r="I181" s="293">
        <v>8</v>
      </c>
      <c r="J181" s="236"/>
      <c r="K181">
        <v>30</v>
      </c>
      <c r="L181">
        <f t="shared" ref="L181:L190" si="17">K181*G181/1000</f>
        <v>0.3</v>
      </c>
    </row>
    <row r="182" spans="1:12">
      <c r="A182" s="203"/>
      <c r="B182" s="201"/>
      <c r="C182" s="309"/>
      <c r="D182" s="203"/>
      <c r="E182" s="247" t="s">
        <v>86</v>
      </c>
      <c r="F182" s="211"/>
      <c r="G182" s="293">
        <v>9.5</v>
      </c>
      <c r="H182" s="235"/>
      <c r="I182" s="293">
        <v>8</v>
      </c>
      <c r="J182" s="236"/>
      <c r="K182">
        <v>20</v>
      </c>
      <c r="L182">
        <f t="shared" si="17"/>
        <v>0.19</v>
      </c>
    </row>
    <row r="183" spans="1:12">
      <c r="A183" s="203"/>
      <c r="B183" s="201"/>
      <c r="C183" s="309"/>
      <c r="D183" s="203"/>
      <c r="E183" s="247" t="s">
        <v>81</v>
      </c>
      <c r="F183" s="211"/>
      <c r="G183" s="256">
        <v>2.4</v>
      </c>
      <c r="H183" s="235"/>
      <c r="I183" s="256">
        <v>2.4</v>
      </c>
      <c r="J183" s="236"/>
      <c r="K183">
        <v>140</v>
      </c>
      <c r="L183">
        <f t="shared" si="17"/>
        <v>0.33600000000000002</v>
      </c>
    </row>
    <row r="184" spans="1:12">
      <c r="A184" s="203"/>
      <c r="B184" s="201"/>
      <c r="C184" s="309"/>
      <c r="D184" s="203"/>
      <c r="E184" s="247" t="s">
        <v>25</v>
      </c>
      <c r="F184" s="211"/>
      <c r="G184" s="293">
        <v>4</v>
      </c>
      <c r="H184" s="211"/>
      <c r="I184" s="293">
        <v>4</v>
      </c>
      <c r="J184" s="236"/>
      <c r="L184">
        <f t="shared" si="17"/>
        <v>0</v>
      </c>
    </row>
    <row r="185" spans="1:12">
      <c r="A185" s="203"/>
      <c r="B185" s="201"/>
      <c r="C185" s="309"/>
      <c r="D185" s="203"/>
      <c r="E185" s="247" t="s">
        <v>346</v>
      </c>
      <c r="F185" s="211"/>
      <c r="G185" s="293">
        <v>4</v>
      </c>
      <c r="H185" s="235"/>
      <c r="I185" s="293">
        <v>4</v>
      </c>
      <c r="J185" s="236"/>
      <c r="K185">
        <v>44</v>
      </c>
      <c r="L185">
        <f t="shared" si="17"/>
        <v>0.17599999999999999</v>
      </c>
    </row>
    <row r="186" spans="1:12">
      <c r="A186" s="203"/>
      <c r="B186" s="201"/>
      <c r="C186" s="309"/>
      <c r="D186" s="203"/>
      <c r="E186" s="247" t="s">
        <v>347</v>
      </c>
      <c r="F186" s="211"/>
      <c r="G186" s="293">
        <v>4</v>
      </c>
      <c r="H186" s="235"/>
      <c r="I186" s="293">
        <v>4</v>
      </c>
      <c r="J186" s="236"/>
      <c r="L186">
        <f t="shared" si="17"/>
        <v>0</v>
      </c>
    </row>
    <row r="187" spans="1:12">
      <c r="A187" s="203"/>
      <c r="B187" s="201"/>
      <c r="C187" s="309"/>
      <c r="D187" s="203"/>
      <c r="E187" s="247" t="s">
        <v>27</v>
      </c>
      <c r="F187" s="211"/>
      <c r="G187" s="293">
        <v>152</v>
      </c>
      <c r="H187" s="235"/>
      <c r="I187" s="293">
        <v>152</v>
      </c>
      <c r="J187" s="236"/>
      <c r="L187">
        <f t="shared" si="17"/>
        <v>0</v>
      </c>
    </row>
    <row r="188" spans="1:12">
      <c r="A188" s="203"/>
      <c r="B188" s="201"/>
      <c r="C188" s="309"/>
      <c r="D188" s="203"/>
      <c r="E188" s="247" t="s">
        <v>89</v>
      </c>
      <c r="F188" s="211"/>
      <c r="G188" s="293">
        <v>152</v>
      </c>
      <c r="H188" s="235"/>
      <c r="I188" s="293">
        <v>152</v>
      </c>
      <c r="J188" s="236"/>
      <c r="L188">
        <f t="shared" si="17"/>
        <v>0</v>
      </c>
    </row>
    <row r="189" spans="1:12">
      <c r="A189" s="203"/>
      <c r="B189" s="201"/>
      <c r="C189" s="309"/>
      <c r="D189" s="203"/>
      <c r="E189" s="247" t="s">
        <v>173</v>
      </c>
      <c r="F189" s="211"/>
      <c r="G189" s="293">
        <v>152</v>
      </c>
      <c r="H189" s="235"/>
      <c r="I189" s="293">
        <v>152</v>
      </c>
      <c r="J189" s="236"/>
      <c r="L189">
        <f t="shared" si="17"/>
        <v>0</v>
      </c>
    </row>
    <row r="190" spans="1:12">
      <c r="A190" s="203"/>
      <c r="B190" s="201"/>
      <c r="C190" s="309"/>
      <c r="D190" s="203"/>
      <c r="E190" s="247" t="s">
        <v>29</v>
      </c>
      <c r="F190" s="220"/>
      <c r="G190" s="293">
        <v>0.2</v>
      </c>
      <c r="H190" s="257"/>
      <c r="I190" s="293">
        <v>0.2</v>
      </c>
      <c r="J190" s="238"/>
      <c r="K190">
        <v>17</v>
      </c>
      <c r="L190">
        <f t="shared" si="17"/>
        <v>3.4000000000000002E-3</v>
      </c>
    </row>
    <row r="191" spans="1:12">
      <c r="A191" s="203"/>
      <c r="B191" s="201"/>
      <c r="C191" s="309"/>
      <c r="D191" s="203"/>
      <c r="E191" s="252" t="s">
        <v>21</v>
      </c>
      <c r="F191" s="222"/>
      <c r="G191" s="338">
        <v>200</v>
      </c>
      <c r="H191" s="289"/>
      <c r="I191" s="258"/>
      <c r="J191" s="223"/>
    </row>
    <row r="192" spans="1:12">
      <c r="A192" s="203"/>
      <c r="B192" s="201"/>
      <c r="C192" s="309"/>
      <c r="D192" s="203"/>
      <c r="E192" s="203"/>
      <c r="F192" s="203"/>
      <c r="G192" s="203"/>
      <c r="H192" s="203"/>
      <c r="I192" s="203"/>
      <c r="J192" s="203"/>
    </row>
    <row r="193" spans="1:12">
      <c r="A193" s="203"/>
      <c r="B193" s="201" t="s">
        <v>71</v>
      </c>
      <c r="C193" s="309"/>
      <c r="D193" s="203"/>
      <c r="E193" s="203"/>
      <c r="F193" s="203"/>
      <c r="G193" s="294" t="s">
        <v>181</v>
      </c>
      <c r="H193" s="294"/>
      <c r="I193" s="294" t="s">
        <v>182</v>
      </c>
      <c r="J193" s="294"/>
      <c r="L193" s="254">
        <f>SUM(L194:L199)</f>
        <v>27.560709999999997</v>
      </c>
    </row>
    <row r="194" spans="1:12">
      <c r="A194" s="203"/>
      <c r="B194" s="201"/>
      <c r="C194" s="309">
        <v>90</v>
      </c>
      <c r="D194" s="203"/>
      <c r="E194" s="282" t="s">
        <v>92</v>
      </c>
      <c r="F194" s="282"/>
      <c r="G194" s="283">
        <v>87</v>
      </c>
      <c r="H194" s="283"/>
      <c r="I194" s="283">
        <v>77</v>
      </c>
      <c r="J194" s="283"/>
      <c r="K194">
        <v>270</v>
      </c>
      <c r="L194">
        <f>K194*G194/1000</f>
        <v>23.49</v>
      </c>
    </row>
    <row r="195" spans="1:12">
      <c r="A195" s="203"/>
      <c r="B195" s="201"/>
      <c r="C195" s="309"/>
      <c r="D195" s="203"/>
      <c r="E195" s="284" t="s">
        <v>4</v>
      </c>
      <c r="F195" s="285"/>
      <c r="G195" s="286">
        <v>14.5</v>
      </c>
      <c r="H195" s="287"/>
      <c r="I195" s="286">
        <v>14.5</v>
      </c>
      <c r="J195" s="287"/>
      <c r="K195">
        <v>45.54</v>
      </c>
      <c r="L195">
        <f t="shared" ref="L195:L199" si="18">K195*G195/1000</f>
        <v>0.66033000000000008</v>
      </c>
    </row>
    <row r="196" spans="1:12">
      <c r="A196" s="203"/>
      <c r="B196" s="201"/>
      <c r="C196" s="309"/>
      <c r="D196" s="203"/>
      <c r="E196" s="284" t="s">
        <v>26</v>
      </c>
      <c r="F196" s="285"/>
      <c r="G196" s="286">
        <v>22</v>
      </c>
      <c r="H196" s="287"/>
      <c r="I196" s="286">
        <v>22</v>
      </c>
      <c r="J196" s="287"/>
      <c r="K196">
        <v>48.19</v>
      </c>
      <c r="L196">
        <f t="shared" si="18"/>
        <v>1.0601799999999999</v>
      </c>
    </row>
    <row r="197" spans="1:12">
      <c r="A197" s="203"/>
      <c r="B197" s="201"/>
      <c r="C197" s="309"/>
      <c r="D197" s="203"/>
      <c r="E197" s="284" t="s">
        <v>93</v>
      </c>
      <c r="F197" s="285"/>
      <c r="G197" s="286">
        <v>10</v>
      </c>
      <c r="H197" s="287"/>
      <c r="I197" s="286">
        <v>10</v>
      </c>
      <c r="J197" s="287"/>
      <c r="K197">
        <v>150</v>
      </c>
      <c r="L197">
        <f t="shared" si="18"/>
        <v>1.5</v>
      </c>
    </row>
    <row r="198" spans="1:12">
      <c r="A198" s="203"/>
      <c r="B198" s="201"/>
      <c r="C198" s="309"/>
      <c r="D198" s="203"/>
      <c r="E198" s="284" t="s">
        <v>81</v>
      </c>
      <c r="F198" s="285"/>
      <c r="G198" s="296">
        <v>6</v>
      </c>
      <c r="H198" s="297"/>
      <c r="I198" s="286">
        <v>6</v>
      </c>
      <c r="J198" s="287"/>
      <c r="K198">
        <v>140</v>
      </c>
      <c r="L198">
        <f t="shared" si="18"/>
        <v>0.84</v>
      </c>
    </row>
    <row r="199" spans="1:12">
      <c r="A199" s="203"/>
      <c r="B199" s="201"/>
      <c r="C199" s="309"/>
      <c r="D199" s="203"/>
      <c r="E199" s="282" t="s">
        <v>94</v>
      </c>
      <c r="F199" s="282"/>
      <c r="G199" s="283">
        <v>0.6</v>
      </c>
      <c r="H199" s="283"/>
      <c r="I199" s="283">
        <v>0.6</v>
      </c>
      <c r="J199" s="283"/>
      <c r="K199">
        <v>17</v>
      </c>
      <c r="L199">
        <f t="shared" si="18"/>
        <v>1.0199999999999999E-2</v>
      </c>
    </row>
    <row r="200" spans="1:12">
      <c r="A200" s="203"/>
      <c r="B200" s="201"/>
      <c r="C200" s="309"/>
      <c r="D200" s="203"/>
      <c r="E200" s="288" t="s">
        <v>74</v>
      </c>
      <c r="F200" s="288"/>
      <c r="G200" s="289" t="s">
        <v>30</v>
      </c>
      <c r="H200" s="289"/>
      <c r="I200" s="290">
        <v>90</v>
      </c>
      <c r="J200" s="290"/>
    </row>
    <row r="201" spans="1:12">
      <c r="A201" s="203"/>
      <c r="B201" s="201"/>
      <c r="C201" s="309"/>
      <c r="D201" s="203"/>
      <c r="E201" s="203"/>
      <c r="F201" s="203"/>
      <c r="G201" s="203"/>
      <c r="H201" s="203"/>
      <c r="I201" s="203"/>
      <c r="J201" s="203"/>
    </row>
    <row r="202" spans="1:12">
      <c r="A202" s="203"/>
      <c r="B202" s="246" t="s">
        <v>284</v>
      </c>
      <c r="C202" s="309"/>
      <c r="D202" s="203"/>
      <c r="E202" s="203"/>
      <c r="F202" s="203"/>
      <c r="G202" s="337" t="s">
        <v>181</v>
      </c>
      <c r="H202" s="294"/>
      <c r="I202" s="337" t="s">
        <v>182</v>
      </c>
      <c r="J202" s="294"/>
      <c r="L202" s="254">
        <f>SUM(L203:L208)</f>
        <v>6.0679600000000002</v>
      </c>
    </row>
    <row r="203" spans="1:12">
      <c r="A203" s="203"/>
      <c r="B203" s="201"/>
      <c r="C203" s="309">
        <v>180</v>
      </c>
      <c r="D203" s="203"/>
      <c r="E203" s="319" t="s">
        <v>25</v>
      </c>
      <c r="F203" s="319"/>
      <c r="G203" s="293">
        <v>52.22</v>
      </c>
      <c r="H203" s="233"/>
      <c r="I203" s="293">
        <v>52.22</v>
      </c>
      <c r="J203" s="234"/>
      <c r="K203">
        <v>75</v>
      </c>
      <c r="L203">
        <f>G203*K203/1000</f>
        <v>3.9165000000000001</v>
      </c>
    </row>
    <row r="204" spans="1:12">
      <c r="A204" s="203"/>
      <c r="B204" s="201"/>
      <c r="C204" s="309"/>
      <c r="D204" s="203"/>
      <c r="E204" s="319" t="s">
        <v>27</v>
      </c>
      <c r="F204" s="319"/>
      <c r="G204" s="293">
        <v>110.07</v>
      </c>
      <c r="H204" s="235"/>
      <c r="I204" s="293">
        <v>110.07</v>
      </c>
      <c r="J204" s="236"/>
      <c r="K204">
        <v>0</v>
      </c>
      <c r="L204">
        <f t="shared" ref="L204:L205" si="19">G204*K204/1000</f>
        <v>0</v>
      </c>
    </row>
    <row r="205" spans="1:12">
      <c r="A205" s="203"/>
      <c r="B205" s="201"/>
      <c r="C205" s="309"/>
      <c r="D205" s="203"/>
      <c r="E205" s="319" t="s">
        <v>29</v>
      </c>
      <c r="F205" s="319"/>
      <c r="G205" s="293">
        <v>0.38</v>
      </c>
      <c r="H205" s="235"/>
      <c r="I205" s="293">
        <v>0.38</v>
      </c>
      <c r="J205" s="236"/>
      <c r="K205">
        <v>17</v>
      </c>
      <c r="L205">
        <f t="shared" si="19"/>
        <v>6.4599999999999996E-3</v>
      </c>
    </row>
    <row r="206" spans="1:12">
      <c r="A206" s="203"/>
      <c r="B206" s="201"/>
      <c r="C206" s="309"/>
      <c r="D206" s="203"/>
      <c r="E206" s="319" t="s">
        <v>348</v>
      </c>
      <c r="F206" s="319"/>
      <c r="G206" s="293" t="s">
        <v>30</v>
      </c>
      <c r="H206" s="235"/>
      <c r="I206" s="293">
        <v>146.1</v>
      </c>
      <c r="J206" s="236"/>
      <c r="K206">
        <v>0</v>
      </c>
    </row>
    <row r="207" spans="1:12">
      <c r="A207" s="203"/>
      <c r="B207" s="201"/>
      <c r="C207" s="309"/>
      <c r="D207" s="203"/>
      <c r="E207" s="319" t="s">
        <v>20</v>
      </c>
      <c r="F207" s="319"/>
      <c r="G207" s="293">
        <v>3.9</v>
      </c>
      <c r="H207" s="211"/>
      <c r="I207" s="293">
        <v>3.9</v>
      </c>
      <c r="J207" s="236"/>
      <c r="K207">
        <v>550</v>
      </c>
      <c r="L207">
        <f t="shared" ref="L207:L208" si="20">G207*K207/1000</f>
        <v>2.145</v>
      </c>
    </row>
    <row r="208" spans="1:12">
      <c r="A208" s="203"/>
      <c r="B208" s="201"/>
      <c r="C208" s="309"/>
      <c r="D208" s="203"/>
      <c r="E208" s="292" t="s">
        <v>21</v>
      </c>
      <c r="F208" s="292"/>
      <c r="G208" s="259"/>
      <c r="H208" s="236"/>
      <c r="I208" s="259"/>
      <c r="J208" s="236"/>
      <c r="L208">
        <f t="shared" si="20"/>
        <v>0</v>
      </c>
    </row>
    <row r="209" spans="1:12">
      <c r="A209" s="203"/>
      <c r="B209" s="201"/>
      <c r="C209" s="309"/>
      <c r="D209" s="203"/>
      <c r="E209" s="203"/>
      <c r="F209" s="203"/>
      <c r="G209" s="203"/>
      <c r="H209" s="203"/>
      <c r="I209" s="203"/>
      <c r="J209" s="203"/>
    </row>
    <row r="210" spans="1:12">
      <c r="A210" s="203"/>
      <c r="B210" s="201" t="s">
        <v>5</v>
      </c>
      <c r="C210" s="309"/>
      <c r="D210" s="203"/>
      <c r="E210" s="203"/>
      <c r="F210" s="203"/>
      <c r="G210" s="294" t="s">
        <v>181</v>
      </c>
      <c r="H210" s="294"/>
      <c r="I210" s="294" t="s">
        <v>182</v>
      </c>
      <c r="J210" s="294"/>
      <c r="L210" s="204">
        <f>L211+L212+L213</f>
        <v>2.2000000000000002</v>
      </c>
    </row>
    <row r="211" spans="1:12">
      <c r="A211" s="203"/>
      <c r="B211" s="201"/>
      <c r="C211" s="309">
        <v>200</v>
      </c>
      <c r="D211" s="203"/>
      <c r="E211" s="282" t="s">
        <v>157</v>
      </c>
      <c r="F211" s="282"/>
      <c r="G211" s="283">
        <v>0.6</v>
      </c>
      <c r="H211" s="283"/>
      <c r="I211" s="283">
        <v>0.6</v>
      </c>
      <c r="J211" s="283"/>
      <c r="K211">
        <v>500</v>
      </c>
      <c r="L211" s="4">
        <f t="shared" ref="L211:L213" si="21">K211/1000*G211</f>
        <v>0.3</v>
      </c>
    </row>
    <row r="212" spans="1:12">
      <c r="A212" s="203"/>
      <c r="B212" s="201"/>
      <c r="C212" s="309"/>
      <c r="D212" s="203"/>
      <c r="E212" s="284" t="s">
        <v>103</v>
      </c>
      <c r="F212" s="285"/>
      <c r="G212" s="286">
        <v>15</v>
      </c>
      <c r="H212" s="287"/>
      <c r="I212" s="286">
        <v>15</v>
      </c>
      <c r="J212" s="287"/>
      <c r="K212">
        <v>55</v>
      </c>
      <c r="L212" s="4">
        <f t="shared" si="21"/>
        <v>0.82499999999999996</v>
      </c>
    </row>
    <row r="213" spans="1:12">
      <c r="A213" s="203"/>
      <c r="B213" s="201"/>
      <c r="C213" s="309"/>
      <c r="D213" s="203"/>
      <c r="E213" s="284" t="s">
        <v>172</v>
      </c>
      <c r="F213" s="285"/>
      <c r="G213" s="286">
        <v>5</v>
      </c>
      <c r="H213" s="287"/>
      <c r="I213" s="286">
        <v>4</v>
      </c>
      <c r="J213" s="287"/>
      <c r="K213">
        <v>215</v>
      </c>
      <c r="L213" s="4">
        <f t="shared" si="21"/>
        <v>1.075</v>
      </c>
    </row>
    <row r="214" spans="1:12">
      <c r="A214" s="203"/>
      <c r="B214" s="201"/>
      <c r="C214" s="309"/>
      <c r="D214" s="203"/>
      <c r="E214" s="288" t="s">
        <v>74</v>
      </c>
      <c r="F214" s="288"/>
      <c r="G214" s="289" t="s">
        <v>30</v>
      </c>
      <c r="H214" s="289"/>
      <c r="I214" s="289" t="s">
        <v>223</v>
      </c>
      <c r="J214" s="289"/>
    </row>
    <row r="215" spans="1:12">
      <c r="A215" s="203"/>
      <c r="B215" s="201"/>
      <c r="C215" s="309"/>
      <c r="D215" s="203"/>
      <c r="E215" s="203"/>
      <c r="F215" s="203"/>
      <c r="G215" s="203"/>
      <c r="H215" s="203"/>
      <c r="I215" s="203"/>
      <c r="J215" s="203"/>
    </row>
    <row r="216" spans="1:12">
      <c r="A216" s="203"/>
      <c r="B216" s="201" t="s">
        <v>263</v>
      </c>
      <c r="C216" s="309"/>
      <c r="D216" s="203"/>
      <c r="E216" s="282" t="s">
        <v>263</v>
      </c>
      <c r="F216" s="282"/>
      <c r="G216" s="283">
        <v>40</v>
      </c>
      <c r="H216" s="283"/>
      <c r="I216" s="283">
        <v>40</v>
      </c>
      <c r="J216" s="283"/>
      <c r="K216">
        <v>29.72</v>
      </c>
      <c r="L216" s="254">
        <f>K216/1000*G216</f>
        <v>1.1888000000000001</v>
      </c>
    </row>
    <row r="217" spans="1:12">
      <c r="A217" s="203"/>
      <c r="B217" s="201"/>
      <c r="C217" s="309">
        <v>40</v>
      </c>
      <c r="D217" s="203"/>
      <c r="E217" s="203"/>
      <c r="F217" s="203"/>
      <c r="G217" s="203"/>
      <c r="H217" s="203"/>
      <c r="I217" s="203"/>
      <c r="J217" s="203"/>
    </row>
    <row r="218" spans="1:12">
      <c r="A218" s="260" t="s">
        <v>357</v>
      </c>
      <c r="B218" s="201" t="s">
        <v>4</v>
      </c>
      <c r="C218" s="309"/>
      <c r="D218" s="203"/>
      <c r="E218" s="282" t="s">
        <v>4</v>
      </c>
      <c r="F218" s="282"/>
      <c r="G218" s="283">
        <v>30</v>
      </c>
      <c r="H218" s="283"/>
      <c r="I218" s="283">
        <v>30</v>
      </c>
      <c r="J218" s="283"/>
      <c r="K218">
        <v>45.54</v>
      </c>
      <c r="L218" s="254">
        <f>K218/1000*G218</f>
        <v>1.3661999999999999</v>
      </c>
    </row>
    <row r="219" spans="1:12">
      <c r="A219" s="203"/>
      <c r="B219" s="201" t="s">
        <v>350</v>
      </c>
      <c r="C219" s="309">
        <v>30</v>
      </c>
      <c r="D219" s="203"/>
      <c r="E219" s="203"/>
      <c r="F219" s="203"/>
      <c r="G219" s="294" t="s">
        <v>181</v>
      </c>
      <c r="H219" s="294"/>
      <c r="I219" s="294" t="s">
        <v>182</v>
      </c>
      <c r="J219" s="294"/>
      <c r="L219" s="50">
        <f>SUM(L220:L221)</f>
        <v>5.298</v>
      </c>
    </row>
    <row r="220" spans="1:12">
      <c r="A220" s="203"/>
      <c r="B220" s="201"/>
      <c r="C220" s="309">
        <v>100</v>
      </c>
      <c r="D220" s="203"/>
      <c r="E220" s="282" t="s">
        <v>350</v>
      </c>
      <c r="F220" s="282"/>
      <c r="G220" s="283">
        <v>60</v>
      </c>
      <c r="H220" s="283"/>
      <c r="I220" s="283">
        <v>60</v>
      </c>
      <c r="J220" s="283"/>
      <c r="K220">
        <v>88.3</v>
      </c>
      <c r="L220">
        <f>G220*K220/1000</f>
        <v>5.298</v>
      </c>
    </row>
    <row r="221" spans="1:12">
      <c r="A221" s="203"/>
      <c r="B221" s="201"/>
      <c r="C221" s="309"/>
      <c r="D221" s="203"/>
      <c r="E221" s="284"/>
      <c r="F221" s="285"/>
      <c r="G221" s="286"/>
      <c r="H221" s="287"/>
      <c r="I221" s="286"/>
      <c r="J221" s="287"/>
      <c r="L221">
        <f t="shared" ref="L221" si="22">G221*K221/1000</f>
        <v>0</v>
      </c>
    </row>
    <row r="222" spans="1:12">
      <c r="A222" s="203"/>
      <c r="B222" s="201" t="s">
        <v>351</v>
      </c>
      <c r="C222" s="309"/>
      <c r="D222" s="203"/>
      <c r="E222" s="203"/>
      <c r="F222" s="203"/>
      <c r="G222" s="294" t="s">
        <v>181</v>
      </c>
      <c r="H222" s="294"/>
      <c r="I222" s="294" t="s">
        <v>182</v>
      </c>
      <c r="J222" s="294"/>
      <c r="L222" s="50">
        <f>SUM(L223:L232)</f>
        <v>7.020249999999999</v>
      </c>
    </row>
    <row r="223" spans="1:12">
      <c r="A223" s="203"/>
      <c r="B223" s="201"/>
      <c r="C223" s="309">
        <v>250</v>
      </c>
      <c r="D223" s="203"/>
      <c r="E223" s="282" t="s">
        <v>352</v>
      </c>
      <c r="F223" s="282"/>
      <c r="G223" s="283">
        <v>140</v>
      </c>
      <c r="H223" s="283"/>
      <c r="I223" s="283">
        <v>140</v>
      </c>
      <c r="J223" s="283"/>
      <c r="L223">
        <f t="shared" ref="L223:L232" si="23">G223*K223/1000</f>
        <v>0</v>
      </c>
    </row>
    <row r="224" spans="1:12">
      <c r="A224" s="203"/>
      <c r="B224" s="201"/>
      <c r="C224" s="309"/>
      <c r="D224" s="203"/>
      <c r="E224" s="282" t="s">
        <v>84</v>
      </c>
      <c r="F224" s="282"/>
      <c r="G224" s="283">
        <v>70</v>
      </c>
      <c r="H224" s="283"/>
      <c r="I224" s="283">
        <v>56</v>
      </c>
      <c r="J224" s="283"/>
      <c r="K224">
        <v>27</v>
      </c>
      <c r="L224">
        <f t="shared" si="23"/>
        <v>1.89</v>
      </c>
    </row>
    <row r="225" spans="1:12">
      <c r="A225" s="203"/>
      <c r="B225" s="201"/>
      <c r="C225" s="309"/>
      <c r="D225" s="203"/>
      <c r="E225" s="284" t="s">
        <v>353</v>
      </c>
      <c r="F225" s="285"/>
      <c r="G225" s="286">
        <v>17</v>
      </c>
      <c r="H225" s="287"/>
      <c r="I225" s="286">
        <v>15</v>
      </c>
      <c r="J225" s="287"/>
      <c r="K225" s="261">
        <v>140</v>
      </c>
      <c r="L225">
        <f t="shared" si="23"/>
        <v>2.38</v>
      </c>
    </row>
    <row r="226" spans="1:12">
      <c r="A226" s="203"/>
      <c r="B226" s="201"/>
      <c r="C226" s="309"/>
      <c r="D226" s="203"/>
      <c r="E226" s="282" t="s">
        <v>85</v>
      </c>
      <c r="F226" s="282"/>
      <c r="G226" s="286">
        <v>6</v>
      </c>
      <c r="H226" s="287"/>
      <c r="I226" s="286">
        <v>5</v>
      </c>
      <c r="J226" s="287"/>
      <c r="K226">
        <v>30</v>
      </c>
      <c r="L226">
        <f t="shared" si="23"/>
        <v>0.18</v>
      </c>
    </row>
    <row r="227" spans="1:12">
      <c r="A227" s="203"/>
      <c r="B227" s="201"/>
      <c r="C227" s="309"/>
      <c r="D227" s="203"/>
      <c r="E227" s="284" t="s">
        <v>86</v>
      </c>
      <c r="F227" s="285"/>
      <c r="G227" s="286">
        <v>5</v>
      </c>
      <c r="H227" s="287"/>
      <c r="I227" s="286">
        <v>4</v>
      </c>
      <c r="J227" s="287"/>
      <c r="K227">
        <v>20</v>
      </c>
      <c r="L227">
        <f t="shared" si="23"/>
        <v>0.1</v>
      </c>
    </row>
    <row r="228" spans="1:12">
      <c r="A228" s="203"/>
      <c r="B228" s="201"/>
      <c r="C228" s="309"/>
      <c r="D228" s="203"/>
      <c r="E228" s="284" t="s">
        <v>118</v>
      </c>
      <c r="F228" s="285"/>
      <c r="G228" s="286">
        <v>5</v>
      </c>
      <c r="H228" s="287"/>
      <c r="I228" s="286">
        <v>5</v>
      </c>
      <c r="J228" s="287"/>
      <c r="K228">
        <v>29.45</v>
      </c>
      <c r="L228">
        <f t="shared" si="23"/>
        <v>0.14724999999999999</v>
      </c>
    </row>
    <row r="229" spans="1:12">
      <c r="A229" s="203"/>
      <c r="B229" s="201"/>
      <c r="C229" s="309"/>
      <c r="D229" s="203"/>
      <c r="E229" s="284" t="s">
        <v>81</v>
      </c>
      <c r="F229" s="285"/>
      <c r="G229" s="286">
        <v>4</v>
      </c>
      <c r="H229" s="287"/>
      <c r="I229" s="286">
        <v>4</v>
      </c>
      <c r="J229" s="287"/>
      <c r="K229">
        <v>140</v>
      </c>
      <c r="L229">
        <f t="shared" si="23"/>
        <v>0.56000000000000005</v>
      </c>
    </row>
    <row r="230" spans="1:12">
      <c r="A230" s="203"/>
      <c r="B230" s="201"/>
      <c r="C230" s="309"/>
      <c r="D230" s="203"/>
      <c r="E230" s="262" t="s">
        <v>94</v>
      </c>
      <c r="F230" s="263"/>
      <c r="G230" s="286">
        <v>1</v>
      </c>
      <c r="H230" s="287"/>
      <c r="I230" s="286">
        <v>1</v>
      </c>
      <c r="J230" s="287"/>
      <c r="K230">
        <v>17</v>
      </c>
      <c r="L230">
        <f t="shared" si="23"/>
        <v>1.7000000000000001E-2</v>
      </c>
    </row>
    <row r="231" spans="1:12">
      <c r="A231" s="203"/>
      <c r="B231" s="201"/>
      <c r="C231" s="309"/>
      <c r="D231" s="203"/>
      <c r="E231" s="284" t="s">
        <v>101</v>
      </c>
      <c r="F231" s="285"/>
      <c r="G231" s="299">
        <v>0.01</v>
      </c>
      <c r="H231" s="300"/>
      <c r="I231" s="299">
        <v>0.01</v>
      </c>
      <c r="J231" s="300"/>
      <c r="K231">
        <v>1000</v>
      </c>
      <c r="L231">
        <f t="shared" si="23"/>
        <v>0.01</v>
      </c>
    </row>
    <row r="232" spans="1:12">
      <c r="A232" s="203"/>
      <c r="B232" s="201"/>
      <c r="C232" s="309"/>
      <c r="D232" s="203"/>
      <c r="E232" s="282" t="s">
        <v>109</v>
      </c>
      <c r="F232" s="282"/>
      <c r="G232" s="283">
        <v>10</v>
      </c>
      <c r="H232" s="283"/>
      <c r="I232" s="283">
        <v>10</v>
      </c>
      <c r="J232" s="283"/>
      <c r="K232">
        <v>173.6</v>
      </c>
      <c r="L232">
        <f t="shared" si="23"/>
        <v>1.736</v>
      </c>
    </row>
    <row r="233" spans="1:12">
      <c r="A233" s="203"/>
      <c r="B233" s="201"/>
      <c r="C233" s="309"/>
      <c r="D233" s="203"/>
      <c r="E233" s="288" t="s">
        <v>74</v>
      </c>
      <c r="F233" s="288"/>
      <c r="G233" s="289" t="s">
        <v>30</v>
      </c>
      <c r="H233" s="289"/>
      <c r="I233" s="289" t="s">
        <v>106</v>
      </c>
      <c r="J233" s="289"/>
    </row>
    <row r="234" spans="1:12">
      <c r="A234" s="203"/>
      <c r="B234" s="201"/>
      <c r="C234" s="309"/>
      <c r="D234" s="203"/>
      <c r="E234" s="203"/>
      <c r="F234" s="203"/>
      <c r="G234" s="203"/>
      <c r="H234" s="203"/>
      <c r="I234" s="203"/>
      <c r="J234" s="203"/>
    </row>
    <row r="235" spans="1:12">
      <c r="A235" s="203"/>
      <c r="B235" s="201" t="s">
        <v>354</v>
      </c>
      <c r="C235" s="309"/>
      <c r="D235" s="203"/>
      <c r="E235" s="203"/>
      <c r="F235" s="203"/>
      <c r="G235" s="294" t="s">
        <v>181</v>
      </c>
      <c r="H235" s="294"/>
      <c r="I235" s="294" t="s">
        <v>182</v>
      </c>
      <c r="J235" s="294"/>
      <c r="L235" s="50">
        <f>SUM(L236:L240)</f>
        <v>66.124633499999987</v>
      </c>
    </row>
    <row r="236" spans="1:12">
      <c r="A236" s="203"/>
      <c r="B236" s="201"/>
      <c r="C236" s="309">
        <v>100</v>
      </c>
      <c r="D236" s="203"/>
      <c r="E236" s="282" t="s">
        <v>355</v>
      </c>
      <c r="F236" s="282"/>
      <c r="G236" s="283">
        <f>124*I241/100</f>
        <v>111.6</v>
      </c>
      <c r="H236" s="283"/>
      <c r="I236" s="283">
        <f>101*I241/100</f>
        <v>90.9</v>
      </c>
      <c r="J236" s="283"/>
      <c r="K236">
        <v>548</v>
      </c>
      <c r="L236">
        <f t="shared" ref="L236:L240" si="24">G236*K236/1000</f>
        <v>61.156799999999997</v>
      </c>
    </row>
    <row r="237" spans="1:12">
      <c r="A237" s="203"/>
      <c r="B237" s="201"/>
      <c r="C237" s="309"/>
      <c r="D237" s="203"/>
      <c r="E237" s="284" t="s">
        <v>356</v>
      </c>
      <c r="F237" s="285"/>
      <c r="G237" s="286">
        <f>15*I241/100</f>
        <v>13.5</v>
      </c>
      <c r="H237" s="287"/>
      <c r="I237" s="286">
        <f>G237</f>
        <v>13.5</v>
      </c>
      <c r="J237" s="287"/>
      <c r="K237">
        <v>270</v>
      </c>
      <c r="L237">
        <f t="shared" si="24"/>
        <v>3.645</v>
      </c>
    </row>
    <row r="238" spans="1:12">
      <c r="A238" s="203"/>
      <c r="B238" s="201"/>
      <c r="C238" s="309"/>
      <c r="D238" s="203"/>
      <c r="E238" s="284" t="s">
        <v>26</v>
      </c>
      <c r="F238" s="285"/>
      <c r="G238" s="286">
        <f>8.5*I241/100</f>
        <v>7.65</v>
      </c>
      <c r="H238" s="287"/>
      <c r="I238" s="286">
        <f>G238</f>
        <v>7.65</v>
      </c>
      <c r="J238" s="287"/>
      <c r="K238">
        <v>48.19</v>
      </c>
      <c r="L238">
        <f t="shared" si="24"/>
        <v>0.36865350000000002</v>
      </c>
    </row>
    <row r="239" spans="1:12">
      <c r="A239" s="203"/>
      <c r="B239" s="201"/>
      <c r="C239" s="309"/>
      <c r="D239" s="203"/>
      <c r="E239" s="284" t="s">
        <v>81</v>
      </c>
      <c r="F239" s="285"/>
      <c r="G239" s="286">
        <f>7.5*I241/100</f>
        <v>6.75</v>
      </c>
      <c r="H239" s="287"/>
      <c r="I239" s="286">
        <f>G239</f>
        <v>6.75</v>
      </c>
      <c r="J239" s="287"/>
      <c r="K239">
        <v>140</v>
      </c>
      <c r="L239">
        <f t="shared" si="24"/>
        <v>0.94499999999999995</v>
      </c>
    </row>
    <row r="240" spans="1:12">
      <c r="A240" s="203"/>
      <c r="B240" s="201"/>
      <c r="C240" s="309"/>
      <c r="D240" s="203"/>
      <c r="E240" s="282" t="s">
        <v>94</v>
      </c>
      <c r="F240" s="282"/>
      <c r="G240" s="283">
        <f>0.6*I241/100</f>
        <v>0.54</v>
      </c>
      <c r="H240" s="283"/>
      <c r="I240" s="283">
        <f>G240</f>
        <v>0.54</v>
      </c>
      <c r="J240" s="283"/>
      <c r="K240">
        <v>17</v>
      </c>
      <c r="L240">
        <f t="shared" si="24"/>
        <v>9.1799999999999989E-3</v>
      </c>
    </row>
    <row r="241" spans="1:12">
      <c r="A241" s="203"/>
      <c r="B241" s="201"/>
      <c r="C241" s="309"/>
      <c r="D241" s="203"/>
      <c r="E241" s="288" t="s">
        <v>74</v>
      </c>
      <c r="F241" s="288"/>
      <c r="G241" s="289" t="s">
        <v>30</v>
      </c>
      <c r="H241" s="289"/>
      <c r="I241" s="290">
        <v>90</v>
      </c>
      <c r="J241" s="290"/>
    </row>
    <row r="242" spans="1:12">
      <c r="A242" s="203"/>
      <c r="B242" s="201"/>
      <c r="C242" s="309"/>
      <c r="D242" s="203"/>
      <c r="E242" s="203"/>
      <c r="F242" s="203"/>
      <c r="G242" s="203"/>
      <c r="H242" s="203"/>
      <c r="I242" s="203"/>
      <c r="J242" s="203"/>
    </row>
    <row r="243" spans="1:12">
      <c r="A243" s="203"/>
      <c r="B243" s="201" t="s">
        <v>329</v>
      </c>
      <c r="C243" s="309"/>
      <c r="D243" s="203"/>
      <c r="E243" s="203"/>
      <c r="F243" s="203"/>
      <c r="G243" s="294" t="s">
        <v>181</v>
      </c>
      <c r="H243" s="294"/>
      <c r="I243" s="294" t="s">
        <v>182</v>
      </c>
      <c r="J243" s="294"/>
      <c r="L243" s="50">
        <f>SUM(L244:L247)</f>
        <v>7.4016599999999988</v>
      </c>
    </row>
    <row r="244" spans="1:12">
      <c r="A244" s="203"/>
      <c r="B244" s="201"/>
      <c r="C244" s="309">
        <v>180</v>
      </c>
      <c r="D244" s="203"/>
      <c r="E244" s="282" t="s">
        <v>330</v>
      </c>
      <c r="F244" s="282"/>
      <c r="G244" s="283">
        <f>170*I248/150</f>
        <v>170</v>
      </c>
      <c r="H244" s="283"/>
      <c r="I244" s="283">
        <f>128*I248/150</f>
        <v>128</v>
      </c>
      <c r="J244" s="283"/>
      <c r="K244">
        <v>27</v>
      </c>
      <c r="L244">
        <f t="shared" ref="L244:L247" si="25">G244*K244/1000</f>
        <v>4.59</v>
      </c>
    </row>
    <row r="245" spans="1:12">
      <c r="A245" s="203"/>
      <c r="B245" s="201"/>
      <c r="C245" s="309"/>
      <c r="D245" s="203"/>
      <c r="E245" s="284" t="s">
        <v>26</v>
      </c>
      <c r="F245" s="285"/>
      <c r="G245" s="286">
        <f>24*I248/150</f>
        <v>24</v>
      </c>
      <c r="H245" s="287"/>
      <c r="I245" s="286">
        <f>24*I248/150</f>
        <v>24</v>
      </c>
      <c r="J245" s="287"/>
      <c r="K245">
        <v>48.19</v>
      </c>
      <c r="L245">
        <f t="shared" si="25"/>
        <v>1.15656</v>
      </c>
    </row>
    <row r="246" spans="1:12">
      <c r="A246" s="203"/>
      <c r="B246" s="201"/>
      <c r="C246" s="309"/>
      <c r="D246" s="203"/>
      <c r="E246" s="284" t="s">
        <v>20</v>
      </c>
      <c r="F246" s="285"/>
      <c r="G246" s="286">
        <f>3*I248/150</f>
        <v>3</v>
      </c>
      <c r="H246" s="287"/>
      <c r="I246" s="286">
        <f>3*I248/150</f>
        <v>3</v>
      </c>
      <c r="J246" s="287"/>
      <c r="K246">
        <v>550</v>
      </c>
      <c r="L246">
        <f t="shared" si="25"/>
        <v>1.65</v>
      </c>
    </row>
    <row r="247" spans="1:12">
      <c r="A247" s="203"/>
      <c r="B247" s="201"/>
      <c r="C247" s="309"/>
      <c r="D247" s="203"/>
      <c r="E247" s="282" t="s">
        <v>94</v>
      </c>
      <c r="F247" s="282"/>
      <c r="G247" s="283">
        <f>0.3*I248/150</f>
        <v>0.3</v>
      </c>
      <c r="H247" s="283"/>
      <c r="I247" s="283">
        <f>0.3*I248/150</f>
        <v>0.3</v>
      </c>
      <c r="J247" s="283"/>
      <c r="K247">
        <v>17</v>
      </c>
      <c r="L247">
        <f t="shared" si="25"/>
        <v>5.0999999999999995E-3</v>
      </c>
    </row>
    <row r="248" spans="1:12">
      <c r="A248" s="203"/>
      <c r="B248" s="201"/>
      <c r="C248" s="309"/>
      <c r="D248" s="203"/>
      <c r="E248" s="288" t="s">
        <v>74</v>
      </c>
      <c r="F248" s="288"/>
      <c r="G248" s="289" t="s">
        <v>30</v>
      </c>
      <c r="H248" s="289"/>
      <c r="I248" s="290">
        <v>150</v>
      </c>
      <c r="J248" s="290"/>
    </row>
    <row r="249" spans="1:12">
      <c r="A249" s="203"/>
      <c r="B249" s="201"/>
      <c r="C249" s="309"/>
      <c r="D249" s="203"/>
      <c r="E249" s="203"/>
      <c r="F249" s="203"/>
      <c r="G249" s="203"/>
      <c r="H249" s="203"/>
      <c r="I249" s="203"/>
      <c r="J249" s="203"/>
    </row>
    <row r="250" spans="1:12">
      <c r="A250" s="203"/>
      <c r="B250" s="201" t="s">
        <v>331</v>
      </c>
      <c r="C250" s="309"/>
      <c r="D250" s="203"/>
      <c r="E250" s="203"/>
      <c r="F250" s="203"/>
      <c r="G250" s="294" t="s">
        <v>181</v>
      </c>
      <c r="H250" s="294"/>
      <c r="I250" s="294" t="s">
        <v>182</v>
      </c>
      <c r="J250" s="294"/>
      <c r="L250" s="50">
        <f>SUM(L251:L253)</f>
        <v>2.7780000000000005</v>
      </c>
    </row>
    <row r="251" spans="1:12">
      <c r="A251" s="203"/>
      <c r="B251" s="201"/>
      <c r="C251" s="309">
        <v>200</v>
      </c>
      <c r="D251" s="203"/>
      <c r="E251" s="282" t="s">
        <v>145</v>
      </c>
      <c r="F251" s="282"/>
      <c r="G251" s="283">
        <f>20*I254/180</f>
        <v>22.222222222222221</v>
      </c>
      <c r="H251" s="283"/>
      <c r="I251" s="283">
        <f>G251</f>
        <v>22.222222222222221</v>
      </c>
      <c r="J251" s="283"/>
      <c r="K251">
        <v>97.51</v>
      </c>
      <c r="L251">
        <f t="shared" ref="L251:L253" si="26">G251*K251/1000</f>
        <v>2.1668888888888893</v>
      </c>
    </row>
    <row r="252" spans="1:12" s="50" customFormat="1">
      <c r="A252" s="203"/>
      <c r="B252" s="201"/>
      <c r="C252" s="309"/>
      <c r="D252" s="203"/>
      <c r="E252" s="284" t="s">
        <v>103</v>
      </c>
      <c r="F252" s="285"/>
      <c r="G252" s="286">
        <f>10*I254/180</f>
        <v>11.111111111111111</v>
      </c>
      <c r="H252" s="287"/>
      <c r="I252" s="286">
        <f>G252</f>
        <v>11.111111111111111</v>
      </c>
      <c r="J252" s="287"/>
      <c r="K252">
        <v>55</v>
      </c>
      <c r="L252">
        <f t="shared" si="26"/>
        <v>0.61111111111111105</v>
      </c>
    </row>
    <row r="253" spans="1:12">
      <c r="A253" s="203"/>
      <c r="B253" s="201"/>
      <c r="C253" s="309"/>
      <c r="D253" s="203"/>
      <c r="E253" s="284" t="s">
        <v>27</v>
      </c>
      <c r="F253" s="285"/>
      <c r="G253" s="286">
        <f>180*I254/180</f>
        <v>200</v>
      </c>
      <c r="H253" s="287"/>
      <c r="I253" s="286">
        <f>G253</f>
        <v>200</v>
      </c>
      <c r="J253" s="287"/>
      <c r="L253">
        <f t="shared" si="26"/>
        <v>0</v>
      </c>
    </row>
    <row r="254" spans="1:12">
      <c r="A254" s="203"/>
      <c r="B254" s="201"/>
      <c r="C254" s="309"/>
      <c r="D254" s="203"/>
      <c r="E254" s="288" t="s">
        <v>74</v>
      </c>
      <c r="F254" s="288"/>
      <c r="G254" s="289" t="s">
        <v>30</v>
      </c>
      <c r="H254" s="289"/>
      <c r="I254" s="290">
        <v>200</v>
      </c>
      <c r="J254" s="290"/>
    </row>
    <row r="255" spans="1:12">
      <c r="A255" s="203"/>
      <c r="B255" s="201"/>
      <c r="C255" s="309"/>
      <c r="D255" s="203"/>
      <c r="E255" s="203"/>
      <c r="F255" s="203"/>
      <c r="G255" s="203"/>
      <c r="H255" s="203"/>
      <c r="I255" s="203"/>
      <c r="J255" s="203"/>
    </row>
    <row r="256" spans="1:12">
      <c r="A256" s="203"/>
      <c r="B256" s="201" t="s">
        <v>263</v>
      </c>
      <c r="C256" s="309"/>
      <c r="D256" s="203"/>
      <c r="E256" s="282" t="s">
        <v>263</v>
      </c>
      <c r="F256" s="282"/>
      <c r="G256" s="283">
        <v>40</v>
      </c>
      <c r="H256" s="283"/>
      <c r="I256" s="283">
        <v>40</v>
      </c>
      <c r="J256" s="283"/>
      <c r="K256">
        <v>29.72</v>
      </c>
      <c r="L256" s="50">
        <f>K256/1000*G256</f>
        <v>1.1888000000000001</v>
      </c>
    </row>
    <row r="257" spans="1:12">
      <c r="A257" s="203"/>
      <c r="B257" s="201"/>
      <c r="C257" s="309">
        <v>40</v>
      </c>
      <c r="D257" s="203"/>
      <c r="E257" s="203"/>
      <c r="F257" s="203"/>
      <c r="G257" s="203"/>
      <c r="H257" s="203"/>
      <c r="I257" s="203"/>
      <c r="J257" s="203"/>
    </row>
    <row r="258" spans="1:12">
      <c r="A258" s="203"/>
      <c r="B258" s="201" t="s">
        <v>4</v>
      </c>
      <c r="C258" s="309"/>
      <c r="D258" s="203"/>
      <c r="E258" s="282" t="s">
        <v>4</v>
      </c>
      <c r="F258" s="282"/>
      <c r="G258" s="283">
        <v>30</v>
      </c>
      <c r="H258" s="283"/>
      <c r="I258" s="283">
        <v>30</v>
      </c>
      <c r="J258" s="283"/>
      <c r="K258">
        <v>45.54</v>
      </c>
      <c r="L258" s="50">
        <f>K258/1000*G258</f>
        <v>1.3661999999999999</v>
      </c>
    </row>
    <row r="259" spans="1:12">
      <c r="A259" s="203" t="s">
        <v>358</v>
      </c>
      <c r="B259" s="201"/>
      <c r="C259" s="309">
        <v>30</v>
      </c>
      <c r="D259" s="203"/>
      <c r="E259" s="203"/>
      <c r="F259" s="203"/>
      <c r="G259" s="203"/>
      <c r="H259" s="203"/>
      <c r="I259" s="203"/>
      <c r="J259" s="203"/>
    </row>
    <row r="260" spans="1:12">
      <c r="A260" s="203" t="s">
        <v>358</v>
      </c>
      <c r="B260" s="246" t="s">
        <v>234</v>
      </c>
      <c r="C260" s="309">
        <v>60</v>
      </c>
      <c r="D260" s="203"/>
      <c r="E260" s="203"/>
      <c r="F260" s="203"/>
      <c r="G260" s="337"/>
      <c r="H260" s="337"/>
      <c r="I260" s="337"/>
      <c r="J260" s="337"/>
      <c r="L260" s="204">
        <f>SUM(L261:L264)</f>
        <v>2.9399999999999995</v>
      </c>
    </row>
    <row r="261" spans="1:12">
      <c r="A261" s="203" t="e">
        <f>#REF!+#REF!+#REF!+#REF!+#REF!+#REF!</f>
        <v>#REF!</v>
      </c>
      <c r="B261" s="201"/>
      <c r="C261" s="309"/>
      <c r="D261" s="203"/>
      <c r="E261" s="264" t="s">
        <v>85</v>
      </c>
      <c r="F261" s="265"/>
      <c r="G261" s="341">
        <v>64.5</v>
      </c>
      <c r="H261" s="266"/>
      <c r="I261" s="341">
        <v>51.6</v>
      </c>
      <c r="J261" s="267"/>
      <c r="K261">
        <v>30</v>
      </c>
      <c r="L261" s="4">
        <f t="shared" ref="L261:L264" si="27">K261/1000*G261</f>
        <v>1.9349999999999998</v>
      </c>
    </row>
    <row r="262" spans="1:12">
      <c r="A262" s="203">
        <f>D260+D275+D289+D302+D308+D310</f>
        <v>0</v>
      </c>
      <c r="B262" s="201"/>
      <c r="C262" s="309"/>
      <c r="D262" s="203"/>
      <c r="E262" s="264" t="s">
        <v>28</v>
      </c>
      <c r="F262" s="265"/>
      <c r="G262" s="341">
        <v>3</v>
      </c>
      <c r="H262" s="266"/>
      <c r="I262" s="341">
        <v>3</v>
      </c>
      <c r="J262" s="267"/>
      <c r="K262">
        <v>55</v>
      </c>
      <c r="L262" s="4">
        <f t="shared" si="27"/>
        <v>0.16500000000000001</v>
      </c>
    </row>
    <row r="263" spans="1:12">
      <c r="A263" s="255" t="e">
        <f>#REF!+#REF!+#REF!+#REF!+#REF!+#REF!</f>
        <v>#REF!</v>
      </c>
      <c r="B263" s="201"/>
      <c r="C263" s="309"/>
      <c r="D263" s="203"/>
      <c r="E263" s="264" t="s">
        <v>81</v>
      </c>
      <c r="F263" s="265"/>
      <c r="G263" s="341">
        <v>6</v>
      </c>
      <c r="H263" s="266"/>
      <c r="I263" s="341">
        <v>6</v>
      </c>
      <c r="J263" s="267"/>
      <c r="K263">
        <v>140</v>
      </c>
      <c r="L263" s="4">
        <f t="shared" si="27"/>
        <v>0.84000000000000008</v>
      </c>
    </row>
    <row r="264" spans="1:12">
      <c r="A264" s="203"/>
      <c r="B264" s="201"/>
      <c r="C264" s="309"/>
      <c r="D264" s="203"/>
      <c r="E264" s="268" t="s">
        <v>21</v>
      </c>
      <c r="F264" s="265"/>
      <c r="G264" s="341">
        <v>60</v>
      </c>
      <c r="H264" s="341"/>
      <c r="I264" s="267"/>
      <c r="J264" s="267"/>
      <c r="L264" s="4">
        <f t="shared" si="27"/>
        <v>0</v>
      </c>
    </row>
    <row r="265" spans="1:12">
      <c r="A265" s="203"/>
      <c r="B265" s="201"/>
      <c r="C265" s="309"/>
      <c r="D265" s="203"/>
      <c r="E265" s="344"/>
      <c r="F265" s="344"/>
      <c r="G265" s="345"/>
      <c r="H265" s="345"/>
      <c r="I265" s="346"/>
      <c r="J265" s="346"/>
    </row>
    <row r="266" spans="1:12">
      <c r="A266" s="203"/>
      <c r="B266" s="201"/>
      <c r="C266" s="309"/>
      <c r="D266" s="203"/>
      <c r="E266" s="344"/>
      <c r="F266" s="344"/>
      <c r="G266" s="345"/>
      <c r="H266" s="345"/>
      <c r="I266" s="346"/>
      <c r="J266" s="346"/>
    </row>
    <row r="267" spans="1:12">
      <c r="A267" s="203"/>
      <c r="B267" s="208" t="s">
        <v>301</v>
      </c>
      <c r="C267" s="309">
        <v>60</v>
      </c>
      <c r="D267" s="203"/>
      <c r="E267" s="344"/>
      <c r="F267" s="344"/>
      <c r="G267" s="337" t="s">
        <v>181</v>
      </c>
      <c r="H267" s="337"/>
      <c r="I267" s="337" t="s">
        <v>182</v>
      </c>
      <c r="J267" s="294"/>
      <c r="L267" s="204">
        <f>SUM(L268:L272)</f>
        <v>3.4422599999999997</v>
      </c>
    </row>
    <row r="268" spans="1:12">
      <c r="A268" s="203"/>
      <c r="B268" s="201"/>
      <c r="C268" s="309"/>
      <c r="D268" s="203"/>
      <c r="E268" s="264" t="s">
        <v>85</v>
      </c>
      <c r="F268" s="344"/>
      <c r="G268" s="341">
        <v>78</v>
      </c>
      <c r="H268" s="266"/>
      <c r="I268" s="341">
        <v>62.4</v>
      </c>
      <c r="J268" s="346"/>
      <c r="K268">
        <v>30</v>
      </c>
      <c r="L268" s="4">
        <f t="shared" ref="L268:L272" si="28">K268/1000*G268</f>
        <v>2.34</v>
      </c>
    </row>
    <row r="269" spans="1:12">
      <c r="A269" s="203"/>
      <c r="B269" s="201"/>
      <c r="C269" s="309"/>
      <c r="D269" s="203"/>
      <c r="E269" s="264" t="s">
        <v>29</v>
      </c>
      <c r="F269" s="344"/>
      <c r="G269" s="341">
        <v>0.78</v>
      </c>
      <c r="H269" s="266"/>
      <c r="I269" s="341">
        <v>0.78</v>
      </c>
      <c r="J269" s="346"/>
      <c r="K269" s="64">
        <v>17</v>
      </c>
      <c r="L269" s="4">
        <f t="shared" si="28"/>
        <v>1.3260000000000001E-2</v>
      </c>
    </row>
    <row r="270" spans="1:12">
      <c r="A270" s="203"/>
      <c r="B270" s="201"/>
      <c r="C270" s="309"/>
      <c r="D270" s="203"/>
      <c r="E270" s="264" t="s">
        <v>359</v>
      </c>
      <c r="F270" s="344"/>
      <c r="G270" s="341">
        <v>1.98</v>
      </c>
      <c r="H270" s="266"/>
      <c r="I270" s="341">
        <v>1.98</v>
      </c>
      <c r="J270" s="346"/>
      <c r="K270" s="64">
        <v>550</v>
      </c>
      <c r="L270" s="4">
        <f t="shared" si="28"/>
        <v>1.089</v>
      </c>
    </row>
    <row r="271" spans="1:12">
      <c r="A271" s="203"/>
      <c r="B271" s="201"/>
      <c r="C271" s="309"/>
      <c r="D271" s="203"/>
      <c r="E271" s="268" t="s">
        <v>21</v>
      </c>
      <c r="F271" s="344"/>
      <c r="G271" s="341">
        <v>60</v>
      </c>
      <c r="H271" s="341"/>
      <c r="I271" s="341"/>
      <c r="J271" s="346"/>
      <c r="K271" s="64"/>
      <c r="L271" s="4">
        <f t="shared" si="28"/>
        <v>0</v>
      </c>
    </row>
    <row r="272" spans="1:12">
      <c r="A272" s="203"/>
      <c r="B272" s="201"/>
      <c r="C272" s="309"/>
      <c r="D272" s="203"/>
      <c r="E272" s="247"/>
      <c r="F272" s="344"/>
      <c r="G272" s="341"/>
      <c r="H272" s="266"/>
      <c r="I272" s="341"/>
      <c r="J272" s="346"/>
      <c r="K272" s="64"/>
      <c r="L272" s="4">
        <f t="shared" si="28"/>
        <v>0</v>
      </c>
    </row>
    <row r="273" spans="1:12">
      <c r="A273" s="203"/>
      <c r="B273" s="201"/>
      <c r="C273" s="309"/>
      <c r="D273" s="203"/>
      <c r="E273" s="252"/>
      <c r="F273" s="344"/>
      <c r="G273" s="341"/>
      <c r="H273" s="341"/>
      <c r="I273" s="346"/>
      <c r="J273" s="346"/>
      <c r="K273" s="64"/>
    </row>
    <row r="274" spans="1:12">
      <c r="A274" s="203"/>
      <c r="B274" s="201"/>
      <c r="C274" s="309"/>
      <c r="D274" s="203"/>
      <c r="E274" s="266"/>
      <c r="F274" s="266"/>
      <c r="G274" s="266"/>
      <c r="H274" s="266"/>
      <c r="I274" s="266"/>
      <c r="J274" s="266"/>
      <c r="K274" s="64"/>
    </row>
    <row r="275" spans="1:12">
      <c r="A275" s="203"/>
      <c r="B275" s="208" t="s">
        <v>302</v>
      </c>
      <c r="C275" s="309">
        <v>200</v>
      </c>
      <c r="D275" s="203"/>
      <c r="E275" s="203"/>
      <c r="F275" s="203"/>
      <c r="G275" s="342" t="s">
        <v>181</v>
      </c>
      <c r="H275" s="343"/>
      <c r="I275" s="342" t="s">
        <v>182</v>
      </c>
      <c r="J275" s="343"/>
      <c r="L275" s="254">
        <f>SUM(L276:L286)</f>
        <v>3.1143999999999998</v>
      </c>
    </row>
    <row r="276" spans="1:12">
      <c r="A276" s="203"/>
      <c r="B276" s="201"/>
      <c r="C276" s="309"/>
      <c r="D276" s="203"/>
      <c r="E276" s="247" t="s">
        <v>84</v>
      </c>
      <c r="F276" s="216"/>
      <c r="G276" s="293">
        <v>75</v>
      </c>
      <c r="H276" s="233"/>
      <c r="I276" s="293">
        <v>60</v>
      </c>
      <c r="J276" s="234"/>
      <c r="K276">
        <v>27</v>
      </c>
      <c r="L276">
        <f>K276*G276/1000</f>
        <v>2.0249999999999999</v>
      </c>
    </row>
    <row r="277" spans="1:12">
      <c r="A277" s="203"/>
      <c r="B277" s="201"/>
      <c r="C277" s="309"/>
      <c r="D277" s="203"/>
      <c r="E277" s="247" t="s">
        <v>85</v>
      </c>
      <c r="F277" s="211"/>
      <c r="G277" s="293">
        <v>10</v>
      </c>
      <c r="H277" s="235"/>
      <c r="I277" s="293">
        <v>8</v>
      </c>
      <c r="J277" s="236"/>
      <c r="K277">
        <v>30</v>
      </c>
      <c r="L277">
        <f t="shared" ref="L277:L286" si="29">K277*G277/1000</f>
        <v>0.3</v>
      </c>
    </row>
    <row r="278" spans="1:12">
      <c r="A278" s="203"/>
      <c r="B278" s="201"/>
      <c r="C278" s="309"/>
      <c r="D278" s="203"/>
      <c r="E278" s="247" t="s">
        <v>86</v>
      </c>
      <c r="F278" s="211"/>
      <c r="G278" s="293">
        <v>9.5</v>
      </c>
      <c r="H278" s="235"/>
      <c r="I278" s="293">
        <v>8</v>
      </c>
      <c r="J278" s="236"/>
      <c r="K278">
        <v>20</v>
      </c>
      <c r="L278">
        <f t="shared" si="29"/>
        <v>0.19</v>
      </c>
    </row>
    <row r="279" spans="1:12">
      <c r="A279" s="203"/>
      <c r="B279" s="201"/>
      <c r="C279" s="309"/>
      <c r="D279" s="203"/>
      <c r="E279" s="247" t="s">
        <v>81</v>
      </c>
      <c r="F279" s="211"/>
      <c r="G279" s="256">
        <v>2.4</v>
      </c>
      <c r="H279" s="235"/>
      <c r="I279" s="256">
        <v>2.4</v>
      </c>
      <c r="J279" s="236"/>
      <c r="K279">
        <v>140</v>
      </c>
      <c r="L279">
        <f t="shared" si="29"/>
        <v>0.33600000000000002</v>
      </c>
    </row>
    <row r="280" spans="1:12">
      <c r="A280" s="203"/>
      <c r="B280" s="201"/>
      <c r="C280" s="309"/>
      <c r="D280" s="203"/>
      <c r="E280" s="247" t="s">
        <v>25</v>
      </c>
      <c r="F280" s="211"/>
      <c r="G280" s="293">
        <v>4</v>
      </c>
      <c r="H280" s="211"/>
      <c r="I280" s="293">
        <v>4</v>
      </c>
      <c r="J280" s="236"/>
      <c r="K280">
        <v>65</v>
      </c>
      <c r="L280">
        <f t="shared" si="29"/>
        <v>0.26</v>
      </c>
    </row>
    <row r="281" spans="1:12">
      <c r="A281" s="203"/>
      <c r="B281" s="201"/>
      <c r="C281" s="309"/>
      <c r="D281" s="203"/>
      <c r="E281" s="247" t="s">
        <v>346</v>
      </c>
      <c r="F281" s="211"/>
      <c r="G281" s="293">
        <v>4</v>
      </c>
      <c r="H281" s="235"/>
      <c r="I281" s="293">
        <v>4</v>
      </c>
      <c r="J281" s="236"/>
      <c r="L281">
        <f t="shared" si="29"/>
        <v>0</v>
      </c>
    </row>
    <row r="282" spans="1:12">
      <c r="A282" s="203"/>
      <c r="B282" s="201"/>
      <c r="C282" s="309"/>
      <c r="D282" s="203"/>
      <c r="E282" s="247" t="s">
        <v>347</v>
      </c>
      <c r="F282" s="211"/>
      <c r="G282" s="293">
        <v>4</v>
      </c>
      <c r="H282" s="235"/>
      <c r="I282" s="293">
        <v>4</v>
      </c>
      <c r="J282" s="236"/>
      <c r="L282">
        <f t="shared" si="29"/>
        <v>0</v>
      </c>
    </row>
    <row r="283" spans="1:12">
      <c r="A283" s="203"/>
      <c r="B283" s="201"/>
      <c r="C283" s="309"/>
      <c r="D283" s="203"/>
      <c r="E283" s="247" t="s">
        <v>27</v>
      </c>
      <c r="F283" s="211"/>
      <c r="G283" s="293">
        <v>152</v>
      </c>
      <c r="H283" s="235"/>
      <c r="I283" s="293">
        <v>152</v>
      </c>
      <c r="J283" s="236"/>
      <c r="L283">
        <f t="shared" si="29"/>
        <v>0</v>
      </c>
    </row>
    <row r="284" spans="1:12">
      <c r="A284" s="203"/>
      <c r="B284" s="201"/>
      <c r="C284" s="309"/>
      <c r="D284" s="203"/>
      <c r="E284" s="247" t="s">
        <v>89</v>
      </c>
      <c r="F284" s="211"/>
      <c r="G284" s="293">
        <v>152</v>
      </c>
      <c r="H284" s="235"/>
      <c r="I284" s="293">
        <v>152</v>
      </c>
      <c r="J284" s="236"/>
      <c r="L284">
        <f t="shared" si="29"/>
        <v>0</v>
      </c>
    </row>
    <row r="285" spans="1:12">
      <c r="A285" s="203"/>
      <c r="B285" s="201"/>
      <c r="C285" s="309"/>
      <c r="D285" s="203"/>
      <c r="E285" s="247" t="s">
        <v>173</v>
      </c>
      <c r="F285" s="211"/>
      <c r="G285" s="293">
        <v>152</v>
      </c>
      <c r="H285" s="235"/>
      <c r="I285" s="293">
        <v>152</v>
      </c>
      <c r="J285" s="236"/>
      <c r="L285">
        <f t="shared" si="29"/>
        <v>0</v>
      </c>
    </row>
    <row r="286" spans="1:12">
      <c r="A286" s="203"/>
      <c r="B286" s="201"/>
      <c r="C286" s="309"/>
      <c r="D286" s="203"/>
      <c r="E286" s="247" t="s">
        <v>29</v>
      </c>
      <c r="F286" s="220"/>
      <c r="G286" s="293">
        <v>0.2</v>
      </c>
      <c r="H286" s="257"/>
      <c r="I286" s="293">
        <v>0.2</v>
      </c>
      <c r="J286" s="238"/>
      <c r="K286">
        <v>17</v>
      </c>
      <c r="L286">
        <f t="shared" si="29"/>
        <v>3.4000000000000002E-3</v>
      </c>
    </row>
    <row r="287" spans="1:12">
      <c r="A287" s="203"/>
      <c r="B287" s="201"/>
      <c r="C287" s="309"/>
      <c r="D287" s="203"/>
      <c r="E287" s="252" t="s">
        <v>21</v>
      </c>
      <c r="F287" s="222"/>
      <c r="G287" s="338">
        <v>200</v>
      </c>
      <c r="H287" s="289"/>
      <c r="I287" s="258"/>
      <c r="J287" s="223"/>
    </row>
    <row r="288" spans="1:12">
      <c r="A288" s="203"/>
      <c r="B288" s="201"/>
      <c r="C288" s="309"/>
      <c r="D288" s="203"/>
      <c r="E288" s="203"/>
      <c r="F288" s="203"/>
      <c r="G288" s="203"/>
      <c r="H288" s="203"/>
      <c r="I288" s="203"/>
      <c r="J288" s="203"/>
    </row>
    <row r="289" spans="1:12">
      <c r="A289" s="203"/>
      <c r="B289" s="208" t="s">
        <v>360</v>
      </c>
      <c r="C289" s="309">
        <v>240</v>
      </c>
      <c r="D289" s="203"/>
      <c r="E289" s="203"/>
      <c r="F289" s="203"/>
      <c r="G289" s="203"/>
      <c r="H289" s="203"/>
      <c r="I289" s="203"/>
      <c r="J289" s="203"/>
      <c r="L289" s="269">
        <f>SUM(L290:L298)</f>
        <v>46.762799999999999</v>
      </c>
    </row>
    <row r="290" spans="1:12">
      <c r="A290" s="203"/>
      <c r="B290" s="201"/>
      <c r="C290" s="309"/>
      <c r="D290" s="203"/>
      <c r="E290" s="323" t="s">
        <v>175</v>
      </c>
      <c r="F290" s="324"/>
      <c r="G290" s="293">
        <v>146.74</v>
      </c>
      <c r="H290" s="203"/>
      <c r="I290" s="293">
        <v>108.34</v>
      </c>
      <c r="J290" s="203"/>
      <c r="L290">
        <f t="shared" ref="L290:L297" si="30">K290*G290/1000</f>
        <v>0</v>
      </c>
    </row>
    <row r="291" spans="1:12">
      <c r="A291" s="203"/>
      <c r="B291" s="201"/>
      <c r="C291" s="309"/>
      <c r="D291" s="203"/>
      <c r="E291" s="323" t="s">
        <v>176</v>
      </c>
      <c r="F291" s="324"/>
      <c r="G291" s="293">
        <v>146.74</v>
      </c>
      <c r="H291" s="203"/>
      <c r="I291" s="293">
        <v>108.34</v>
      </c>
      <c r="J291" s="203"/>
      <c r="L291">
        <f t="shared" si="30"/>
        <v>0</v>
      </c>
    </row>
    <row r="292" spans="1:12">
      <c r="A292" s="203"/>
      <c r="B292" s="201"/>
      <c r="C292" s="309"/>
      <c r="D292" s="203"/>
      <c r="E292" s="323" t="s">
        <v>177</v>
      </c>
      <c r="F292" s="324"/>
      <c r="G292" s="293">
        <v>119.3</v>
      </c>
      <c r="H292" s="203"/>
      <c r="I292" s="293">
        <v>101.5</v>
      </c>
      <c r="J292" s="203"/>
      <c r="K292">
        <v>330</v>
      </c>
      <c r="L292">
        <f t="shared" si="30"/>
        <v>39.369</v>
      </c>
    </row>
    <row r="293" spans="1:12">
      <c r="A293" s="203"/>
      <c r="B293" s="201"/>
      <c r="C293" s="309"/>
      <c r="D293" s="203"/>
      <c r="E293" s="323" t="s">
        <v>178</v>
      </c>
      <c r="F293" s="324"/>
      <c r="G293" s="293">
        <v>119.3</v>
      </c>
      <c r="H293" s="203"/>
      <c r="I293" s="293">
        <v>101.5</v>
      </c>
      <c r="J293" s="203"/>
      <c r="L293">
        <f t="shared" si="30"/>
        <v>0</v>
      </c>
    </row>
    <row r="294" spans="1:12">
      <c r="A294" s="203"/>
      <c r="B294" s="201"/>
      <c r="C294" s="309"/>
      <c r="D294" s="203"/>
      <c r="E294" s="323" t="s">
        <v>84</v>
      </c>
      <c r="F294" s="324"/>
      <c r="G294" s="293">
        <v>182.4</v>
      </c>
      <c r="H294" s="203"/>
      <c r="I294" s="293">
        <v>137.13999999999999</v>
      </c>
      <c r="J294" s="203"/>
      <c r="K294">
        <v>27</v>
      </c>
      <c r="L294">
        <f t="shared" si="30"/>
        <v>4.9248000000000003</v>
      </c>
    </row>
    <row r="295" spans="1:12">
      <c r="A295" s="203"/>
      <c r="B295" s="201"/>
      <c r="C295" s="309"/>
      <c r="D295" s="203"/>
      <c r="E295" s="323" t="s">
        <v>86</v>
      </c>
      <c r="F295" s="324"/>
      <c r="G295" s="293">
        <v>16.46</v>
      </c>
      <c r="H295" s="203"/>
      <c r="I295" s="293">
        <v>13.7</v>
      </c>
      <c r="J295" s="203"/>
      <c r="K295">
        <v>20</v>
      </c>
      <c r="L295">
        <f t="shared" si="30"/>
        <v>0.32920000000000005</v>
      </c>
    </row>
    <row r="296" spans="1:12">
      <c r="A296" s="203"/>
      <c r="B296" s="201"/>
      <c r="C296" s="309"/>
      <c r="D296" s="203"/>
      <c r="E296" s="323" t="s">
        <v>87</v>
      </c>
      <c r="F296" s="324"/>
      <c r="G296" s="293">
        <v>8.23</v>
      </c>
      <c r="H296" s="203"/>
      <c r="I296" s="293">
        <v>8.23</v>
      </c>
      <c r="J296" s="203"/>
      <c r="K296">
        <v>120</v>
      </c>
      <c r="L296">
        <f t="shared" si="30"/>
        <v>0.98760000000000003</v>
      </c>
    </row>
    <row r="297" spans="1:12">
      <c r="A297" s="203"/>
      <c r="B297" s="201"/>
      <c r="C297" s="309"/>
      <c r="D297" s="203"/>
      <c r="E297" s="323" t="s">
        <v>81</v>
      </c>
      <c r="F297" s="324"/>
      <c r="G297" s="293">
        <v>8.23</v>
      </c>
      <c r="H297" s="203"/>
      <c r="I297" s="293">
        <v>8.23</v>
      </c>
      <c r="J297" s="203"/>
      <c r="K297">
        <v>140</v>
      </c>
      <c r="L297">
        <f t="shared" si="30"/>
        <v>1.1522000000000001</v>
      </c>
    </row>
    <row r="298" spans="1:12">
      <c r="A298" s="203"/>
      <c r="B298" s="201"/>
      <c r="C298" s="309"/>
      <c r="D298" s="203"/>
      <c r="E298" s="323" t="s">
        <v>179</v>
      </c>
      <c r="F298" s="324"/>
      <c r="G298" s="293" t="s">
        <v>30</v>
      </c>
      <c r="H298" s="203"/>
      <c r="I298" s="293">
        <v>68.569999999999993</v>
      </c>
      <c r="J298" s="203"/>
    </row>
    <row r="299" spans="1:12">
      <c r="A299" s="203"/>
      <c r="B299" s="201"/>
      <c r="C299" s="309"/>
      <c r="D299" s="203"/>
      <c r="E299" s="323" t="s">
        <v>180</v>
      </c>
      <c r="F299" s="324"/>
      <c r="G299" s="293" t="s">
        <v>30</v>
      </c>
      <c r="H299" s="203"/>
      <c r="I299" s="293">
        <v>171.43</v>
      </c>
      <c r="J299" s="203"/>
    </row>
    <row r="300" spans="1:12">
      <c r="A300" s="203"/>
      <c r="B300" s="201"/>
      <c r="C300" s="309"/>
      <c r="D300" s="203"/>
      <c r="E300" s="339" t="s">
        <v>21</v>
      </c>
      <c r="F300" s="340"/>
      <c r="G300" s="293">
        <v>240</v>
      </c>
      <c r="H300" s="293"/>
      <c r="I300" s="203"/>
      <c r="J300" s="203"/>
    </row>
    <row r="301" spans="1:12">
      <c r="A301" s="203"/>
      <c r="B301" s="201"/>
      <c r="C301" s="309"/>
      <c r="D301" s="203"/>
      <c r="E301" s="203"/>
      <c r="F301" s="203"/>
      <c r="G301" s="203"/>
      <c r="H301" s="203"/>
      <c r="I301" s="203"/>
      <c r="J301" s="203"/>
    </row>
    <row r="302" spans="1:12">
      <c r="A302" s="203"/>
      <c r="B302" s="201" t="s">
        <v>5</v>
      </c>
      <c r="C302" s="309">
        <v>200</v>
      </c>
      <c r="D302" s="203"/>
      <c r="E302" s="203"/>
      <c r="F302" s="203"/>
      <c r="G302" s="294" t="s">
        <v>181</v>
      </c>
      <c r="H302" s="294"/>
      <c r="I302" s="294" t="s">
        <v>182</v>
      </c>
      <c r="J302" s="294"/>
      <c r="L302" s="204">
        <f>L303+L304+L305</f>
        <v>2.2000000000000002</v>
      </c>
    </row>
    <row r="303" spans="1:12">
      <c r="A303" s="203"/>
      <c r="B303" s="201"/>
      <c r="C303" s="309"/>
      <c r="D303" s="203"/>
      <c r="E303" s="282" t="s">
        <v>157</v>
      </c>
      <c r="F303" s="282"/>
      <c r="G303" s="283">
        <v>0.6</v>
      </c>
      <c r="H303" s="283"/>
      <c r="I303" s="283">
        <v>0.6</v>
      </c>
      <c r="J303" s="283"/>
      <c r="K303">
        <v>500</v>
      </c>
      <c r="L303" s="4">
        <f t="shared" ref="L303:L305" si="31">K303/1000*G303</f>
        <v>0.3</v>
      </c>
    </row>
    <row r="304" spans="1:12">
      <c r="A304" s="203"/>
      <c r="B304" s="201"/>
      <c r="C304" s="309"/>
      <c r="D304" s="203"/>
      <c r="E304" s="284" t="s">
        <v>103</v>
      </c>
      <c r="F304" s="285"/>
      <c r="G304" s="286">
        <v>15</v>
      </c>
      <c r="H304" s="287"/>
      <c r="I304" s="286">
        <v>15</v>
      </c>
      <c r="J304" s="287"/>
      <c r="K304">
        <v>55</v>
      </c>
      <c r="L304" s="4">
        <f t="shared" si="31"/>
        <v>0.82499999999999996</v>
      </c>
    </row>
    <row r="305" spans="1:12">
      <c r="A305" s="203"/>
      <c r="B305" s="201"/>
      <c r="C305" s="309"/>
      <c r="D305" s="203"/>
      <c r="E305" s="284" t="s">
        <v>172</v>
      </c>
      <c r="F305" s="285"/>
      <c r="G305" s="286">
        <v>5</v>
      </c>
      <c r="H305" s="287"/>
      <c r="I305" s="286">
        <v>4</v>
      </c>
      <c r="J305" s="287"/>
      <c r="K305">
        <v>215</v>
      </c>
      <c r="L305" s="4">
        <f t="shared" si="31"/>
        <v>1.075</v>
      </c>
    </row>
    <row r="306" spans="1:12">
      <c r="A306" s="203"/>
      <c r="B306" s="201"/>
      <c r="C306" s="309"/>
      <c r="D306" s="203"/>
      <c r="E306" s="288" t="s">
        <v>74</v>
      </c>
      <c r="F306" s="288"/>
      <c r="G306" s="289" t="s">
        <v>30</v>
      </c>
      <c r="H306" s="289"/>
      <c r="I306" s="289" t="s">
        <v>223</v>
      </c>
      <c r="J306" s="289"/>
    </row>
    <row r="307" spans="1:12" s="50" customFormat="1">
      <c r="A307" s="203"/>
      <c r="B307" s="201"/>
      <c r="C307" s="309"/>
      <c r="D307" s="203"/>
      <c r="E307" s="203"/>
      <c r="F307" s="203"/>
      <c r="G307" s="203"/>
      <c r="H307" s="203"/>
      <c r="I307" s="203"/>
      <c r="J307" s="203"/>
      <c r="K307"/>
      <c r="L307"/>
    </row>
    <row r="308" spans="1:12">
      <c r="A308" s="203"/>
      <c r="B308" s="201" t="s">
        <v>263</v>
      </c>
      <c r="C308" s="309">
        <v>40</v>
      </c>
      <c r="D308" s="203"/>
      <c r="E308" s="282" t="s">
        <v>263</v>
      </c>
      <c r="F308" s="282"/>
      <c r="G308" s="283">
        <v>40</v>
      </c>
      <c r="H308" s="283"/>
      <c r="I308" s="283">
        <v>40</v>
      </c>
      <c r="J308" s="283"/>
      <c r="K308">
        <v>29.72</v>
      </c>
      <c r="L308" s="254">
        <f>K308/1000*G308</f>
        <v>1.1888000000000001</v>
      </c>
    </row>
    <row r="309" spans="1:12">
      <c r="A309" s="203"/>
      <c r="B309" s="201"/>
      <c r="C309" s="309"/>
      <c r="D309" s="203"/>
      <c r="E309" s="203"/>
      <c r="F309" s="203"/>
      <c r="G309" s="203"/>
      <c r="H309" s="203"/>
      <c r="I309" s="203"/>
      <c r="J309" s="203"/>
    </row>
    <row r="310" spans="1:12">
      <c r="A310" s="203"/>
      <c r="B310" s="201" t="s">
        <v>4</v>
      </c>
      <c r="C310" s="309">
        <v>30</v>
      </c>
      <c r="D310" s="203"/>
      <c r="E310" s="282" t="s">
        <v>4</v>
      </c>
      <c r="F310" s="282"/>
      <c r="G310" s="283">
        <v>30</v>
      </c>
      <c r="H310" s="283"/>
      <c r="I310" s="283">
        <v>30</v>
      </c>
      <c r="J310" s="283"/>
      <c r="K310">
        <v>45.54</v>
      </c>
      <c r="L310" s="254">
        <f>K310/1000*G310</f>
        <v>1.3661999999999999</v>
      </c>
    </row>
    <row r="311" spans="1:12">
      <c r="A311" s="203"/>
      <c r="B311" s="201"/>
      <c r="C311" s="309"/>
      <c r="D311" s="203"/>
      <c r="E311" s="203"/>
      <c r="F311" s="203"/>
      <c r="G311" s="203"/>
      <c r="H311" s="203"/>
      <c r="I311" s="203"/>
      <c r="J311" s="203"/>
    </row>
    <row r="312" spans="1:12" ht="15" customHeight="1">
      <c r="A312" s="203"/>
      <c r="B312" s="208" t="s">
        <v>63</v>
      </c>
      <c r="C312" s="309">
        <v>60</v>
      </c>
      <c r="D312" s="203"/>
      <c r="E312" s="203"/>
      <c r="F312" s="203"/>
      <c r="G312" s="337" t="s">
        <v>181</v>
      </c>
      <c r="H312" s="337"/>
      <c r="I312" s="337" t="s">
        <v>182</v>
      </c>
      <c r="J312" s="337"/>
      <c r="L312" s="243">
        <f>SUM(L313:L317)</f>
        <v>9.1440000000000001</v>
      </c>
    </row>
    <row r="313" spans="1:12" ht="15" customHeight="1">
      <c r="A313" s="203"/>
      <c r="B313" s="201" t="s">
        <v>315</v>
      </c>
      <c r="C313" s="309"/>
      <c r="D313" s="203"/>
      <c r="E313" s="291" t="s">
        <v>97</v>
      </c>
      <c r="F313" s="291"/>
      <c r="G313" s="293">
        <v>60.78</v>
      </c>
      <c r="H313" s="293"/>
      <c r="I313" s="293">
        <v>48.6</v>
      </c>
      <c r="J313" s="293"/>
      <c r="K313">
        <v>140</v>
      </c>
      <c r="L313">
        <f>G313*K313/1000</f>
        <v>8.5091999999999999</v>
      </c>
    </row>
    <row r="314" spans="1:12" ht="15" customHeight="1">
      <c r="A314" s="203"/>
      <c r="B314" s="201"/>
      <c r="C314" s="309"/>
      <c r="D314" s="203"/>
      <c r="E314" s="291" t="s">
        <v>98</v>
      </c>
      <c r="F314" s="291"/>
      <c r="G314" s="293">
        <v>11.28</v>
      </c>
      <c r="H314" s="293"/>
      <c r="I314" s="293">
        <v>9</v>
      </c>
      <c r="J314" s="293"/>
      <c r="L314">
        <f t="shared" ref="L314:L317" si="32">G314*K314/1000</f>
        <v>0</v>
      </c>
    </row>
    <row r="315" spans="1:12" ht="15" customHeight="1">
      <c r="A315" s="203"/>
      <c r="B315" s="201"/>
      <c r="C315" s="309"/>
      <c r="D315" s="203"/>
      <c r="E315" s="291" t="s">
        <v>99</v>
      </c>
      <c r="F315" s="291"/>
      <c r="G315" s="293">
        <v>10.74</v>
      </c>
      <c r="H315" s="293"/>
      <c r="I315" s="293">
        <v>9</v>
      </c>
      <c r="J315" s="293"/>
      <c r="K315">
        <v>20</v>
      </c>
      <c r="L315">
        <f t="shared" si="32"/>
        <v>0.21480000000000002</v>
      </c>
    </row>
    <row r="316" spans="1:12" ht="36">
      <c r="A316" s="203"/>
      <c r="B316" s="201"/>
      <c r="C316" s="309"/>
      <c r="D316" s="203"/>
      <c r="E316" s="291" t="s">
        <v>81</v>
      </c>
      <c r="F316" s="291"/>
      <c r="G316" s="293">
        <v>3</v>
      </c>
      <c r="H316" s="293"/>
      <c r="I316" s="293">
        <v>3</v>
      </c>
      <c r="J316" s="293"/>
      <c r="K316">
        <v>140</v>
      </c>
      <c r="L316">
        <f t="shared" si="32"/>
        <v>0.42</v>
      </c>
    </row>
    <row r="317" spans="1:12">
      <c r="A317" s="203"/>
      <c r="B317" s="201"/>
      <c r="C317" s="309"/>
      <c r="D317" s="203"/>
      <c r="E317" s="292" t="s">
        <v>21</v>
      </c>
      <c r="F317" s="292"/>
      <c r="G317" s="293">
        <v>60</v>
      </c>
      <c r="H317" s="293"/>
      <c r="I317" s="244"/>
      <c r="J317" s="244"/>
      <c r="L317">
        <f t="shared" si="32"/>
        <v>0</v>
      </c>
    </row>
    <row r="318" spans="1:12">
      <c r="A318" s="203"/>
      <c r="B318" s="201"/>
      <c r="C318" s="309"/>
      <c r="D318" s="203"/>
      <c r="E318" s="221"/>
      <c r="F318" s="222"/>
      <c r="G318" s="338"/>
      <c r="H318" s="338"/>
      <c r="I318" s="290"/>
      <c r="J318" s="290"/>
    </row>
    <row r="319" spans="1:12">
      <c r="A319" s="203"/>
      <c r="B319" s="201" t="s">
        <v>332</v>
      </c>
      <c r="C319" s="309">
        <v>60</v>
      </c>
      <c r="D319" s="203"/>
      <c r="E319" s="203"/>
      <c r="F319" s="203"/>
      <c r="G319" s="203"/>
      <c r="H319" s="203"/>
      <c r="I319" s="203"/>
      <c r="J319" s="203"/>
      <c r="L319" s="269">
        <f>SUM(L320:L324)</f>
        <v>7.1791399999999994</v>
      </c>
    </row>
    <row r="320" spans="1:12">
      <c r="A320" s="203"/>
      <c r="B320" s="201"/>
      <c r="C320" s="309"/>
      <c r="D320" s="203"/>
      <c r="E320" s="282" t="s">
        <v>333</v>
      </c>
      <c r="F320" s="282"/>
      <c r="G320" s="283">
        <v>27</v>
      </c>
      <c r="H320" s="283"/>
      <c r="I320" s="283">
        <v>26</v>
      </c>
      <c r="J320" s="283"/>
      <c r="K320">
        <v>120</v>
      </c>
      <c r="L320" s="251">
        <f t="shared" ref="L320:L324" si="33">K320/1000*G320</f>
        <v>3.2399999999999998</v>
      </c>
    </row>
    <row r="321" spans="1:12">
      <c r="A321" s="203"/>
      <c r="B321" s="201"/>
      <c r="C321" s="309"/>
      <c r="D321" s="203"/>
      <c r="E321" s="284" t="s">
        <v>334</v>
      </c>
      <c r="F321" s="285"/>
      <c r="G321" s="286">
        <v>31</v>
      </c>
      <c r="H321" s="287"/>
      <c r="I321" s="286">
        <v>30</v>
      </c>
      <c r="J321" s="287"/>
      <c r="K321">
        <v>100</v>
      </c>
      <c r="L321" s="251">
        <f t="shared" si="33"/>
        <v>3.1</v>
      </c>
    </row>
    <row r="322" spans="1:12">
      <c r="A322" s="203"/>
      <c r="B322" s="201"/>
      <c r="C322" s="309"/>
      <c r="D322" s="203"/>
      <c r="E322" s="284" t="s">
        <v>98</v>
      </c>
      <c r="F322" s="285"/>
      <c r="G322" s="286">
        <v>4</v>
      </c>
      <c r="H322" s="287"/>
      <c r="I322" s="286">
        <v>4</v>
      </c>
      <c r="J322" s="287"/>
      <c r="K322">
        <v>137.66</v>
      </c>
      <c r="L322" s="251">
        <f t="shared" si="33"/>
        <v>0.55064000000000002</v>
      </c>
    </row>
    <row r="323" spans="1:12">
      <c r="A323" s="203"/>
      <c r="B323" s="201"/>
      <c r="C323" s="309"/>
      <c r="D323" s="203"/>
      <c r="E323" s="284" t="s">
        <v>81</v>
      </c>
      <c r="F323" s="285"/>
      <c r="G323" s="286">
        <v>2</v>
      </c>
      <c r="H323" s="287"/>
      <c r="I323" s="286">
        <v>2</v>
      </c>
      <c r="J323" s="287"/>
      <c r="K323">
        <v>140</v>
      </c>
      <c r="L323" s="251">
        <f t="shared" si="33"/>
        <v>0.28000000000000003</v>
      </c>
    </row>
    <row r="324" spans="1:12">
      <c r="A324" s="203"/>
      <c r="B324" s="201"/>
      <c r="C324" s="309"/>
      <c r="D324" s="203"/>
      <c r="E324" s="282" t="s">
        <v>94</v>
      </c>
      <c r="F324" s="282"/>
      <c r="G324" s="283">
        <v>0.5</v>
      </c>
      <c r="H324" s="283"/>
      <c r="I324" s="283">
        <v>0.5</v>
      </c>
      <c r="J324" s="283"/>
      <c r="K324">
        <v>17</v>
      </c>
      <c r="L324" s="251">
        <f t="shared" si="33"/>
        <v>8.5000000000000006E-3</v>
      </c>
    </row>
    <row r="325" spans="1:12">
      <c r="A325" s="203"/>
      <c r="B325" s="201"/>
      <c r="C325" s="309"/>
      <c r="D325" s="203"/>
      <c r="E325" s="288" t="s">
        <v>74</v>
      </c>
      <c r="F325" s="288"/>
      <c r="G325" s="289" t="s">
        <v>30</v>
      </c>
      <c r="H325" s="289"/>
      <c r="I325" s="290">
        <v>60</v>
      </c>
      <c r="J325" s="290"/>
      <c r="L325" s="251"/>
    </row>
    <row r="326" spans="1:12">
      <c r="A326" s="203"/>
      <c r="B326" s="201"/>
      <c r="C326" s="309"/>
      <c r="D326" s="203"/>
      <c r="E326" s="203"/>
      <c r="F326" s="203"/>
      <c r="G326" s="203"/>
      <c r="H326" s="203"/>
      <c r="I326" s="203"/>
      <c r="J326" s="203"/>
    </row>
    <row r="327" spans="1:12">
      <c r="A327" s="203"/>
      <c r="B327" s="246" t="s">
        <v>292</v>
      </c>
      <c r="C327" s="309">
        <v>200</v>
      </c>
      <c r="D327" s="203"/>
      <c r="E327" s="203"/>
      <c r="F327" s="203"/>
      <c r="G327" s="337" t="s">
        <v>181</v>
      </c>
      <c r="H327" s="294"/>
      <c r="I327" s="337" t="s">
        <v>182</v>
      </c>
      <c r="J327" s="294"/>
      <c r="L327" s="243">
        <f>SUM(L328:L342)</f>
        <v>6.3070000000000013</v>
      </c>
    </row>
    <row r="328" spans="1:12">
      <c r="A328" s="203"/>
      <c r="B328" s="201"/>
      <c r="C328" s="309"/>
      <c r="D328" s="203"/>
      <c r="E328" s="282" t="s">
        <v>116</v>
      </c>
      <c r="F328" s="282"/>
      <c r="G328" s="283">
        <v>38</v>
      </c>
      <c r="H328" s="283"/>
      <c r="I328" s="283">
        <v>30</v>
      </c>
      <c r="J328" s="283"/>
      <c r="K328">
        <v>35</v>
      </c>
      <c r="L328">
        <f>G328*K328/1000</f>
        <v>1.33</v>
      </c>
    </row>
    <row r="329" spans="1:12">
      <c r="A329" s="203"/>
      <c r="B329" s="201"/>
      <c r="C329" s="309"/>
      <c r="D329" s="203"/>
      <c r="E329" s="284" t="s">
        <v>102</v>
      </c>
      <c r="F329" s="285"/>
      <c r="G329" s="286">
        <v>23</v>
      </c>
      <c r="H329" s="287"/>
      <c r="I329" s="286">
        <v>18</v>
      </c>
      <c r="J329" s="287"/>
      <c r="K329">
        <v>45</v>
      </c>
      <c r="L329">
        <f t="shared" ref="L329:L340" si="34">G329*K329/1000</f>
        <v>1.0349999999999999</v>
      </c>
    </row>
    <row r="330" spans="1:12">
      <c r="A330" s="203"/>
      <c r="B330" s="201"/>
      <c r="C330" s="309"/>
      <c r="D330" s="203"/>
      <c r="E330" s="284" t="s">
        <v>84</v>
      </c>
      <c r="F330" s="285"/>
      <c r="G330" s="286">
        <v>27</v>
      </c>
      <c r="H330" s="287"/>
      <c r="I330" s="286">
        <v>20</v>
      </c>
      <c r="J330" s="287"/>
      <c r="K330">
        <v>27</v>
      </c>
      <c r="L330">
        <f t="shared" si="34"/>
        <v>0.72899999999999998</v>
      </c>
    </row>
    <row r="331" spans="1:12">
      <c r="A331" s="203"/>
      <c r="B331" s="201"/>
      <c r="C331" s="309"/>
      <c r="D331" s="203"/>
      <c r="E331" s="284" t="s">
        <v>85</v>
      </c>
      <c r="F331" s="285"/>
      <c r="G331" s="286">
        <v>8.5</v>
      </c>
      <c r="H331" s="287"/>
      <c r="I331" s="286">
        <v>7</v>
      </c>
      <c r="J331" s="287"/>
      <c r="K331">
        <v>30</v>
      </c>
      <c r="L331">
        <f t="shared" si="34"/>
        <v>0.255</v>
      </c>
    </row>
    <row r="332" spans="1:12">
      <c r="A332" s="203"/>
      <c r="B332" s="201"/>
      <c r="C332" s="309"/>
      <c r="D332" s="203"/>
      <c r="E332" s="284" t="s">
        <v>86</v>
      </c>
      <c r="F332" s="285"/>
      <c r="G332" s="286">
        <v>8</v>
      </c>
      <c r="H332" s="287"/>
      <c r="I332" s="286">
        <v>7</v>
      </c>
      <c r="J332" s="287"/>
      <c r="K332">
        <v>20</v>
      </c>
      <c r="L332">
        <f t="shared" si="34"/>
        <v>0.16</v>
      </c>
    </row>
    <row r="333" spans="1:12">
      <c r="A333" s="203"/>
      <c r="B333" s="201"/>
      <c r="C333" s="309"/>
      <c r="D333" s="203"/>
      <c r="E333" s="284" t="s">
        <v>361</v>
      </c>
      <c r="F333" s="285"/>
      <c r="G333" s="286">
        <v>3</v>
      </c>
      <c r="H333" s="287"/>
      <c r="I333" s="286">
        <v>3</v>
      </c>
      <c r="J333" s="287"/>
      <c r="K333">
        <v>200</v>
      </c>
      <c r="L333">
        <f t="shared" si="34"/>
        <v>0.6</v>
      </c>
    </row>
    <row r="334" spans="1:12">
      <c r="A334" s="203"/>
      <c r="B334" s="201"/>
      <c r="C334" s="309"/>
      <c r="D334" s="203"/>
      <c r="E334" s="284" t="s">
        <v>362</v>
      </c>
      <c r="F334" s="285"/>
      <c r="G334" s="286">
        <v>3</v>
      </c>
      <c r="H334" s="287"/>
      <c r="I334" s="286">
        <v>3</v>
      </c>
      <c r="J334" s="287"/>
      <c r="K334">
        <v>140</v>
      </c>
      <c r="L334">
        <f t="shared" si="34"/>
        <v>0.42</v>
      </c>
    </row>
    <row r="335" spans="1:12">
      <c r="A335" s="203"/>
      <c r="B335" s="201"/>
      <c r="C335" s="309"/>
      <c r="D335" s="203"/>
      <c r="E335" s="284" t="s">
        <v>20</v>
      </c>
      <c r="F335" s="285"/>
      <c r="G335" s="286">
        <v>3</v>
      </c>
      <c r="H335" s="287"/>
      <c r="I335" s="286">
        <v>3</v>
      </c>
      <c r="J335" s="287"/>
      <c r="K335">
        <v>550</v>
      </c>
      <c r="L335">
        <f t="shared" si="34"/>
        <v>1.65</v>
      </c>
    </row>
    <row r="336" spans="1:12" ht="12" customHeight="1">
      <c r="A336" s="203"/>
      <c r="B336" s="201"/>
      <c r="C336" s="309"/>
      <c r="D336" s="203"/>
      <c r="E336" s="284" t="s">
        <v>103</v>
      </c>
      <c r="F336" s="285"/>
      <c r="G336" s="286">
        <v>2</v>
      </c>
      <c r="H336" s="287"/>
      <c r="I336" s="286">
        <v>2</v>
      </c>
      <c r="J336" s="287"/>
      <c r="K336">
        <v>55</v>
      </c>
      <c r="L336">
        <f t="shared" si="34"/>
        <v>0.11</v>
      </c>
    </row>
    <row r="337" spans="1:12">
      <c r="A337" s="203"/>
      <c r="B337" s="201"/>
      <c r="C337" s="309"/>
      <c r="D337" s="203"/>
      <c r="E337" s="284" t="s">
        <v>363</v>
      </c>
      <c r="F337" s="285"/>
      <c r="G337" s="286">
        <v>1.5</v>
      </c>
      <c r="H337" s="287"/>
      <c r="I337" s="286">
        <v>1.5</v>
      </c>
      <c r="J337" s="287"/>
      <c r="K337" s="250">
        <v>0</v>
      </c>
      <c r="L337">
        <f t="shared" si="34"/>
        <v>0</v>
      </c>
    </row>
    <row r="338" spans="1:12">
      <c r="A338" s="203"/>
      <c r="B338" s="201"/>
      <c r="C338" s="309"/>
      <c r="D338" s="203"/>
      <c r="E338" s="284" t="s">
        <v>364</v>
      </c>
      <c r="F338" s="285"/>
      <c r="G338" s="286">
        <v>160</v>
      </c>
      <c r="H338" s="287"/>
      <c r="I338" s="286">
        <v>160</v>
      </c>
      <c r="J338" s="287"/>
      <c r="K338" s="251"/>
      <c r="L338">
        <f t="shared" si="34"/>
        <v>0</v>
      </c>
    </row>
    <row r="339" spans="1:12">
      <c r="A339" s="203"/>
      <c r="B339" s="201"/>
      <c r="C339" s="309"/>
      <c r="D339" s="203"/>
      <c r="E339" s="282" t="s">
        <v>94</v>
      </c>
      <c r="F339" s="282"/>
      <c r="G339" s="283">
        <v>1</v>
      </c>
      <c r="H339" s="283"/>
      <c r="I339" s="283">
        <v>1</v>
      </c>
      <c r="J339" s="283"/>
      <c r="K339" s="251">
        <v>17</v>
      </c>
      <c r="L339">
        <f t="shared" si="34"/>
        <v>1.7000000000000001E-2</v>
      </c>
    </row>
    <row r="340" spans="1:12">
      <c r="A340" s="203"/>
      <c r="B340" s="201"/>
      <c r="C340" s="309"/>
      <c r="D340" s="203"/>
      <c r="E340" s="305" t="s">
        <v>101</v>
      </c>
      <c r="F340" s="306"/>
      <c r="G340" s="335">
        <v>1E-3</v>
      </c>
      <c r="H340" s="336"/>
      <c r="I340" s="335">
        <v>1E-3</v>
      </c>
      <c r="J340" s="336"/>
      <c r="K340" s="251">
        <v>1000</v>
      </c>
      <c r="L340">
        <f t="shared" si="34"/>
        <v>1E-3</v>
      </c>
    </row>
    <row r="341" spans="1:12">
      <c r="A341" s="203"/>
      <c r="B341" s="201"/>
      <c r="C341" s="309"/>
      <c r="D341" s="203"/>
      <c r="E341" s="288" t="s">
        <v>74</v>
      </c>
      <c r="F341" s="288"/>
      <c r="G341" s="289" t="s">
        <v>30</v>
      </c>
      <c r="H341" s="289"/>
      <c r="I341" s="290">
        <v>200</v>
      </c>
      <c r="J341" s="290"/>
      <c r="K341" s="251"/>
    </row>
    <row r="342" spans="1:12">
      <c r="A342" s="203"/>
      <c r="B342" s="201"/>
      <c r="C342" s="309"/>
      <c r="D342" s="203"/>
      <c r="E342" s="252" t="s">
        <v>21</v>
      </c>
      <c r="F342" s="211"/>
      <c r="G342" s="330">
        <v>200</v>
      </c>
      <c r="H342" s="331"/>
      <c r="I342" s="331"/>
      <c r="J342" s="332"/>
      <c r="L342">
        <f t="shared" ref="L342" si="35">G342*K342/1000</f>
        <v>0</v>
      </c>
    </row>
    <row r="343" spans="1:12">
      <c r="A343" s="203"/>
      <c r="B343" s="201"/>
      <c r="C343" s="309"/>
      <c r="D343" s="203"/>
      <c r="E343" s="203"/>
      <c r="F343" s="203"/>
      <c r="G343" s="203"/>
      <c r="H343" s="203"/>
      <c r="I343" s="203"/>
      <c r="J343" s="203"/>
    </row>
    <row r="344" spans="1:12">
      <c r="A344" s="203"/>
      <c r="B344" s="212" t="s">
        <v>218</v>
      </c>
      <c r="C344" s="208">
        <v>90</v>
      </c>
      <c r="D344" s="203"/>
      <c r="E344" s="213"/>
      <c r="F344" s="213"/>
      <c r="G344" s="294" t="s">
        <v>181</v>
      </c>
      <c r="H344" s="294"/>
      <c r="I344" s="294" t="s">
        <v>182</v>
      </c>
      <c r="J344" s="294"/>
      <c r="K344" s="4"/>
      <c r="L344" s="270">
        <f>SUM(L345:L353)</f>
        <v>37.251000000000005</v>
      </c>
    </row>
    <row r="345" spans="1:12">
      <c r="A345" s="203"/>
      <c r="B345" s="215"/>
      <c r="C345" s="208"/>
      <c r="D345" s="203"/>
      <c r="E345" s="333"/>
      <c r="F345" s="334"/>
      <c r="G345" s="283"/>
      <c r="H345" s="283"/>
      <c r="I345" s="217"/>
      <c r="J345" s="218"/>
      <c r="K345" s="4"/>
      <c r="L345" s="4">
        <f>K345/1000*G345</f>
        <v>0</v>
      </c>
    </row>
    <row r="346" spans="1:12" s="50" customFormat="1">
      <c r="A346" s="203"/>
      <c r="B346" s="215"/>
      <c r="C346" s="208"/>
      <c r="D346" s="203"/>
      <c r="E346" s="323" t="s">
        <v>219</v>
      </c>
      <c r="F346" s="324"/>
      <c r="G346" s="328">
        <v>127.8</v>
      </c>
      <c r="H346" s="329"/>
      <c r="I346" s="326">
        <v>91.8</v>
      </c>
      <c r="J346" s="327"/>
      <c r="K346" s="4">
        <v>270</v>
      </c>
      <c r="L346" s="4">
        <f t="shared" ref="L346:L353" si="36">K346/1000*G346</f>
        <v>34.506</v>
      </c>
    </row>
    <row r="347" spans="1:12">
      <c r="A347" s="203"/>
      <c r="B347" s="215"/>
      <c r="C347" s="208"/>
      <c r="D347" s="203"/>
      <c r="E347" s="323" t="s">
        <v>81</v>
      </c>
      <c r="F347" s="324"/>
      <c r="G347" s="326">
        <v>10.8</v>
      </c>
      <c r="H347" s="327"/>
      <c r="I347" s="326">
        <v>10.8</v>
      </c>
      <c r="J347" s="327"/>
      <c r="K347" s="4">
        <v>140</v>
      </c>
      <c r="L347" s="4">
        <f t="shared" si="36"/>
        <v>1.5120000000000002</v>
      </c>
    </row>
    <row r="348" spans="1:12">
      <c r="A348" s="203"/>
      <c r="B348" s="215"/>
      <c r="C348" s="208"/>
      <c r="D348" s="203"/>
      <c r="E348" s="323" t="s">
        <v>171</v>
      </c>
      <c r="F348" s="324"/>
      <c r="G348" s="326">
        <v>16.2</v>
      </c>
      <c r="H348" s="327"/>
      <c r="I348" s="326">
        <v>16.2</v>
      </c>
      <c r="J348" s="327"/>
      <c r="K348" s="4">
        <v>20</v>
      </c>
      <c r="L348" s="4">
        <f t="shared" si="36"/>
        <v>0.32400000000000001</v>
      </c>
    </row>
    <row r="349" spans="1:12">
      <c r="A349" s="203"/>
      <c r="B349" s="215"/>
      <c r="C349" s="208"/>
      <c r="D349" s="203"/>
      <c r="E349" s="323" t="s">
        <v>111</v>
      </c>
      <c r="F349" s="324"/>
      <c r="G349" s="326">
        <v>5.4</v>
      </c>
      <c r="H349" s="327"/>
      <c r="I349" s="326">
        <v>5.4</v>
      </c>
      <c r="J349" s="327"/>
      <c r="K349" s="4">
        <v>37</v>
      </c>
      <c r="L349" s="4">
        <f t="shared" si="36"/>
        <v>0.19980000000000001</v>
      </c>
    </row>
    <row r="350" spans="1:12">
      <c r="A350" s="203"/>
      <c r="B350" s="215"/>
      <c r="C350" s="208"/>
      <c r="D350" s="203"/>
      <c r="E350" s="323" t="s">
        <v>220</v>
      </c>
      <c r="F350" s="324"/>
      <c r="G350" s="326">
        <v>5.4</v>
      </c>
      <c r="H350" s="327"/>
      <c r="I350" s="326">
        <v>5.4</v>
      </c>
      <c r="J350" s="327"/>
      <c r="K350" s="4">
        <v>120</v>
      </c>
      <c r="L350" s="4">
        <f t="shared" si="36"/>
        <v>0.64800000000000002</v>
      </c>
    </row>
    <row r="351" spans="1:12">
      <c r="A351" s="203"/>
      <c r="B351" s="215"/>
      <c r="C351" s="208"/>
      <c r="D351" s="203"/>
      <c r="E351" s="323" t="s">
        <v>221</v>
      </c>
      <c r="F351" s="324"/>
      <c r="G351" s="326">
        <v>3.6</v>
      </c>
      <c r="H351" s="327"/>
      <c r="I351" s="326">
        <v>3.6</v>
      </c>
      <c r="J351" s="327"/>
      <c r="K351" s="4">
        <v>17</v>
      </c>
      <c r="L351" s="4">
        <f t="shared" si="36"/>
        <v>6.1200000000000004E-2</v>
      </c>
    </row>
    <row r="352" spans="1:12">
      <c r="A352" s="203"/>
      <c r="B352" s="215"/>
      <c r="C352" s="208"/>
      <c r="D352" s="203"/>
      <c r="E352" s="323" t="s">
        <v>21</v>
      </c>
      <c r="F352" s="324"/>
      <c r="G352" s="286">
        <v>90</v>
      </c>
      <c r="H352" s="325"/>
      <c r="I352" s="325"/>
      <c r="J352" s="287"/>
      <c r="K352" s="4"/>
      <c r="L352" s="4">
        <f t="shared" si="36"/>
        <v>0</v>
      </c>
    </row>
    <row r="353" spans="1:12">
      <c r="A353" s="203"/>
      <c r="B353" s="215"/>
      <c r="C353" s="208"/>
      <c r="D353" s="203"/>
      <c r="E353" s="219"/>
      <c r="F353" s="220"/>
      <c r="G353" s="286"/>
      <c r="H353" s="287"/>
      <c r="I353" s="286"/>
      <c r="J353" s="287"/>
      <c r="K353" s="4"/>
      <c r="L353" s="4">
        <f t="shared" si="36"/>
        <v>0</v>
      </c>
    </row>
    <row r="354" spans="1:12" ht="15" hidden="1" customHeight="1">
      <c r="A354" s="203"/>
      <c r="B354" s="215"/>
      <c r="C354" s="208"/>
      <c r="D354" s="203"/>
      <c r="E354" s="221"/>
      <c r="F354" s="222"/>
      <c r="G354" s="289"/>
      <c r="H354" s="289"/>
      <c r="I354" s="290"/>
      <c r="J354" s="290"/>
    </row>
    <row r="355" spans="1:12">
      <c r="A355" s="203"/>
      <c r="B355" s="201"/>
      <c r="C355" s="309"/>
      <c r="D355" s="203"/>
      <c r="E355" s="203"/>
      <c r="F355" s="203"/>
      <c r="G355" s="203"/>
      <c r="H355" s="203"/>
      <c r="I355" s="203"/>
      <c r="J355" s="203"/>
    </row>
    <row r="356" spans="1:12">
      <c r="A356" s="203"/>
      <c r="B356" s="215" t="s">
        <v>222</v>
      </c>
      <c r="C356" s="208">
        <v>150</v>
      </c>
      <c r="D356" s="203"/>
      <c r="E356" s="213"/>
      <c r="F356" s="213"/>
      <c r="G356" s="294" t="s">
        <v>181</v>
      </c>
      <c r="H356" s="294"/>
      <c r="I356" s="294" t="s">
        <v>182</v>
      </c>
      <c r="J356" s="294"/>
      <c r="K356" s="4"/>
      <c r="L356" s="270">
        <f>SUM(L357:L359)</f>
        <v>4.5151000000000003</v>
      </c>
    </row>
    <row r="357" spans="1:12" ht="15" hidden="1" customHeight="1">
      <c r="A357" s="203"/>
      <c r="B357" s="201"/>
      <c r="C357" s="309"/>
      <c r="D357" s="203"/>
      <c r="E357" s="282" t="s">
        <v>105</v>
      </c>
      <c r="F357" s="282"/>
      <c r="G357" s="283">
        <v>52</v>
      </c>
      <c r="H357" s="283"/>
      <c r="I357" s="283">
        <v>52</v>
      </c>
      <c r="J357" s="283"/>
      <c r="K357" s="4">
        <v>55</v>
      </c>
      <c r="L357" s="4">
        <f>G357*K357/1000</f>
        <v>2.86</v>
      </c>
    </row>
    <row r="358" spans="1:12" ht="15" hidden="1" customHeight="1">
      <c r="A358" s="203"/>
      <c r="B358" s="201"/>
      <c r="C358" s="309"/>
      <c r="D358" s="203"/>
      <c r="E358" s="282" t="s">
        <v>94</v>
      </c>
      <c r="F358" s="282"/>
      <c r="G358" s="283">
        <v>0.3</v>
      </c>
      <c r="H358" s="283"/>
      <c r="I358" s="283">
        <v>0.3</v>
      </c>
      <c r="J358" s="283"/>
      <c r="K358" s="4">
        <v>17</v>
      </c>
      <c r="L358" s="4">
        <f>G358*K358/1000</f>
        <v>5.0999999999999995E-3</v>
      </c>
    </row>
    <row r="359" spans="1:12" ht="15" hidden="1" customHeight="1">
      <c r="A359" s="203"/>
      <c r="B359" s="201"/>
      <c r="C359" s="309"/>
      <c r="D359" s="203"/>
      <c r="E359" s="282" t="s">
        <v>20</v>
      </c>
      <c r="F359" s="282"/>
      <c r="G359" s="283">
        <v>3</v>
      </c>
      <c r="H359" s="283"/>
      <c r="I359" s="283">
        <v>3</v>
      </c>
      <c r="J359" s="283"/>
      <c r="K359" s="4">
        <v>550</v>
      </c>
      <c r="L359" s="4">
        <f>G359*K359/1000</f>
        <v>1.65</v>
      </c>
    </row>
    <row r="360" spans="1:12" ht="15" hidden="1" customHeight="1">
      <c r="A360" s="203"/>
      <c r="B360" s="201"/>
      <c r="C360" s="309"/>
      <c r="D360" s="203"/>
      <c r="E360" s="288" t="s">
        <v>74</v>
      </c>
      <c r="F360" s="288"/>
      <c r="G360" s="289" t="s">
        <v>30</v>
      </c>
      <c r="H360" s="289"/>
      <c r="I360" s="290">
        <v>150</v>
      </c>
      <c r="J360" s="290"/>
      <c r="K360" s="44"/>
      <c r="L360" s="44"/>
    </row>
    <row r="361" spans="1:12" ht="25.5" hidden="1" customHeight="1">
      <c r="A361" s="203"/>
      <c r="B361" s="201"/>
      <c r="C361" s="309"/>
      <c r="D361" s="203"/>
      <c r="E361" s="203"/>
      <c r="F361" s="203"/>
      <c r="G361" s="203"/>
      <c r="H361" s="203"/>
      <c r="I361" s="203"/>
      <c r="J361" s="203"/>
    </row>
    <row r="362" spans="1:12">
      <c r="A362" s="203"/>
      <c r="B362" s="208" t="s">
        <v>294</v>
      </c>
      <c r="C362" s="309">
        <v>200</v>
      </c>
      <c r="D362" s="203"/>
      <c r="E362" s="203"/>
      <c r="F362" s="203"/>
      <c r="G362" s="203"/>
      <c r="H362" s="203"/>
      <c r="I362" s="203"/>
      <c r="J362" s="203"/>
      <c r="L362" s="269">
        <f>SUM(L363:L368)</f>
        <v>4.8739999999999997</v>
      </c>
    </row>
    <row r="363" spans="1:12" ht="25.5" hidden="1" customHeight="1">
      <c r="A363" s="203"/>
      <c r="B363" s="201"/>
      <c r="C363" s="309"/>
      <c r="D363" s="203"/>
      <c r="E363" s="321" t="s">
        <v>365</v>
      </c>
      <c r="F363" s="321"/>
      <c r="G363" s="321">
        <v>24</v>
      </c>
      <c r="H363" s="203"/>
      <c r="I363" s="321">
        <v>24</v>
      </c>
      <c r="J363" s="203"/>
      <c r="K363">
        <v>176</v>
      </c>
      <c r="L363" s="4">
        <f t="shared" ref="L363" si="37">G363*K363/1000</f>
        <v>4.2240000000000002</v>
      </c>
    </row>
    <row r="364" spans="1:12">
      <c r="A364" s="203"/>
      <c r="B364" s="201"/>
      <c r="C364" s="309"/>
      <c r="D364" s="203"/>
      <c r="E364" s="321" t="s">
        <v>366</v>
      </c>
      <c r="F364" s="321"/>
      <c r="G364" s="321" t="s">
        <v>30</v>
      </c>
      <c r="H364" s="203"/>
      <c r="I364" s="321" t="s">
        <v>30</v>
      </c>
      <c r="J364" s="203"/>
      <c r="L364" s="4"/>
    </row>
    <row r="365" spans="1:12">
      <c r="A365" s="203"/>
      <c r="B365" s="201"/>
      <c r="C365" s="309"/>
      <c r="D365" s="203"/>
      <c r="E365" s="321" t="s">
        <v>28</v>
      </c>
      <c r="F365" s="321"/>
      <c r="G365" s="321">
        <v>10</v>
      </c>
      <c r="H365" s="203"/>
      <c r="I365" s="321">
        <v>10</v>
      </c>
      <c r="J365" s="203"/>
      <c r="K365">
        <v>55</v>
      </c>
      <c r="L365" s="4">
        <f t="shared" ref="L365:L368" si="38">G365*K365/1000</f>
        <v>0.55000000000000004</v>
      </c>
    </row>
    <row r="366" spans="1:12">
      <c r="A366" s="203"/>
      <c r="B366" s="201"/>
      <c r="C366" s="309"/>
      <c r="D366" s="203"/>
      <c r="E366" s="321" t="s">
        <v>27</v>
      </c>
      <c r="F366" s="321"/>
      <c r="G366" s="321">
        <v>190</v>
      </c>
      <c r="H366" s="203"/>
      <c r="I366" s="321">
        <v>190</v>
      </c>
      <c r="J366" s="203"/>
      <c r="L366" s="4">
        <f t="shared" si="38"/>
        <v>0</v>
      </c>
    </row>
    <row r="367" spans="1:12">
      <c r="A367" s="203"/>
      <c r="B367" s="201"/>
      <c r="C367" s="309"/>
      <c r="D367" s="203"/>
      <c r="E367" s="321" t="s">
        <v>104</v>
      </c>
      <c r="F367" s="321"/>
      <c r="G367" s="321">
        <v>0.2</v>
      </c>
      <c r="H367" s="203"/>
      <c r="I367" s="321">
        <v>0.2</v>
      </c>
      <c r="J367" s="203"/>
      <c r="K367">
        <v>500</v>
      </c>
      <c r="L367" s="4">
        <f t="shared" si="38"/>
        <v>0.1</v>
      </c>
    </row>
    <row r="368" spans="1:12">
      <c r="A368" s="203"/>
      <c r="B368" s="201"/>
      <c r="C368" s="309"/>
      <c r="D368" s="203"/>
      <c r="E368" s="322" t="s">
        <v>21</v>
      </c>
      <c r="F368" s="322"/>
      <c r="G368" s="321">
        <v>200</v>
      </c>
      <c r="H368" s="203"/>
      <c r="I368" s="321"/>
      <c r="J368" s="203"/>
      <c r="L368" s="4">
        <f t="shared" si="38"/>
        <v>0</v>
      </c>
    </row>
    <row r="369" spans="1:12">
      <c r="A369" s="203"/>
      <c r="B369" s="201"/>
      <c r="C369" s="309"/>
      <c r="D369" s="203"/>
      <c r="E369" s="203"/>
      <c r="F369" s="203"/>
      <c r="G369" s="203"/>
      <c r="H369" s="203"/>
      <c r="I369" s="203"/>
      <c r="J369" s="203"/>
    </row>
    <row r="370" spans="1:12">
      <c r="A370" s="203"/>
      <c r="B370" s="201" t="s">
        <v>263</v>
      </c>
      <c r="C370" s="309">
        <v>40</v>
      </c>
      <c r="D370" s="203"/>
      <c r="E370" s="282" t="s">
        <v>263</v>
      </c>
      <c r="F370" s="282"/>
      <c r="G370" s="283">
        <v>40</v>
      </c>
      <c r="H370" s="283"/>
      <c r="I370" s="283">
        <v>40</v>
      </c>
      <c r="J370" s="283"/>
      <c r="K370">
        <v>29.72</v>
      </c>
      <c r="L370" s="254">
        <f>K370/1000*G370</f>
        <v>1.1888000000000001</v>
      </c>
    </row>
    <row r="371" spans="1:12">
      <c r="A371" s="203"/>
      <c r="B371" s="201"/>
      <c r="C371" s="309"/>
      <c r="D371" s="203"/>
      <c r="E371" s="203"/>
      <c r="F371" s="203"/>
      <c r="G371" s="203"/>
      <c r="H371" s="203"/>
      <c r="I371" s="203"/>
      <c r="J371" s="203"/>
    </row>
    <row r="372" spans="1:12">
      <c r="A372" s="203"/>
      <c r="B372" s="201" t="s">
        <v>4</v>
      </c>
      <c r="C372" s="309">
        <v>30</v>
      </c>
      <c r="D372" s="203"/>
      <c r="E372" s="282" t="s">
        <v>4</v>
      </c>
      <c r="F372" s="282"/>
      <c r="G372" s="283">
        <v>30</v>
      </c>
      <c r="H372" s="283"/>
      <c r="I372" s="283">
        <v>30</v>
      </c>
      <c r="J372" s="283"/>
      <c r="K372">
        <v>45.54</v>
      </c>
      <c r="L372" s="254">
        <f>K372/1000*G372</f>
        <v>1.3661999999999999</v>
      </c>
    </row>
    <row r="373" spans="1:12">
      <c r="A373" s="271"/>
      <c r="B373" s="201"/>
      <c r="C373" s="309"/>
      <c r="D373" s="203"/>
      <c r="E373" s="203"/>
      <c r="F373" s="203"/>
      <c r="G373" s="203"/>
      <c r="H373" s="203"/>
      <c r="I373" s="203"/>
      <c r="J373" s="203"/>
    </row>
    <row r="374" spans="1:12">
      <c r="A374" s="203" t="s">
        <v>374</v>
      </c>
      <c r="B374" s="272"/>
      <c r="C374" s="273"/>
      <c r="D374" s="271"/>
      <c r="E374" s="271"/>
      <c r="F374" s="271"/>
      <c r="G374" s="271"/>
      <c r="H374" s="271"/>
      <c r="I374" s="271"/>
      <c r="J374" s="271"/>
      <c r="K374" s="274"/>
      <c r="L374" s="274"/>
    </row>
    <row r="375" spans="1:12">
      <c r="A375" s="203"/>
      <c r="B375" s="208" t="s">
        <v>296</v>
      </c>
      <c r="C375" s="309">
        <v>60</v>
      </c>
      <c r="D375" s="203"/>
      <c r="E375" s="203"/>
      <c r="F375" s="203"/>
      <c r="G375" s="203"/>
      <c r="H375" s="203"/>
      <c r="I375" s="203"/>
      <c r="J375" s="203"/>
      <c r="L375" s="269">
        <f>SUM(L376:L388)</f>
        <v>4.2517800000000001</v>
      </c>
    </row>
    <row r="376" spans="1:12">
      <c r="A376" s="203"/>
      <c r="B376" s="201"/>
      <c r="C376" s="309"/>
      <c r="D376" s="203"/>
      <c r="E376" s="319" t="s">
        <v>84</v>
      </c>
      <c r="F376" s="319"/>
      <c r="G376" s="293">
        <v>20.64</v>
      </c>
      <c r="H376" s="293"/>
      <c r="I376" s="293">
        <v>15</v>
      </c>
      <c r="J376" s="293"/>
      <c r="K376">
        <v>27</v>
      </c>
      <c r="L376" s="4">
        <f t="shared" ref="L376" si="39">G376*K376/1000</f>
        <v>0.55728</v>
      </c>
    </row>
    <row r="377" spans="1:12">
      <c r="A377" s="203"/>
      <c r="B377" s="201"/>
      <c r="C377" s="309"/>
      <c r="D377" s="203"/>
      <c r="E377" s="319" t="s">
        <v>367</v>
      </c>
      <c r="F377" s="319"/>
      <c r="G377" s="293" t="s">
        <v>30</v>
      </c>
      <c r="H377" s="293"/>
      <c r="I377" s="293" t="s">
        <v>30</v>
      </c>
      <c r="J377" s="293"/>
      <c r="L377" s="4"/>
    </row>
    <row r="378" spans="1:12">
      <c r="A378" s="203"/>
      <c r="B378" s="201"/>
      <c r="C378" s="309"/>
      <c r="D378" s="203"/>
      <c r="E378" s="319" t="s">
        <v>116</v>
      </c>
      <c r="F378" s="319"/>
      <c r="G378" s="320">
        <v>15.3</v>
      </c>
      <c r="H378" s="320"/>
      <c r="I378" s="293">
        <v>12</v>
      </c>
      <c r="J378" s="293"/>
      <c r="K378">
        <v>35</v>
      </c>
      <c r="L378" s="4">
        <f t="shared" ref="L378" si="40">G378*K378/1000</f>
        <v>0.53549999999999998</v>
      </c>
    </row>
    <row r="379" spans="1:12" ht="25.5" customHeight="1">
      <c r="A379" s="203"/>
      <c r="B379" s="201"/>
      <c r="C379" s="309"/>
      <c r="D379" s="203"/>
      <c r="E379" s="319" t="s">
        <v>367</v>
      </c>
      <c r="F379" s="319"/>
      <c r="G379" s="293" t="s">
        <v>30</v>
      </c>
      <c r="H379" s="293"/>
      <c r="I379" s="293" t="s">
        <v>30</v>
      </c>
      <c r="J379" s="293"/>
      <c r="L379" s="4"/>
    </row>
    <row r="380" spans="1:12">
      <c r="A380" s="203"/>
      <c r="B380" s="201"/>
      <c r="C380" s="309"/>
      <c r="D380" s="203"/>
      <c r="E380" s="319" t="s">
        <v>119</v>
      </c>
      <c r="F380" s="319"/>
      <c r="G380" s="293">
        <v>11.34</v>
      </c>
      <c r="H380" s="293"/>
      <c r="I380" s="293">
        <v>9</v>
      </c>
      <c r="J380" s="293"/>
      <c r="K380">
        <v>30</v>
      </c>
      <c r="L380" s="4">
        <f t="shared" ref="L380" si="41">G380*K380/1000</f>
        <v>0.3402</v>
      </c>
    </row>
    <row r="381" spans="1:12">
      <c r="A381" s="203"/>
      <c r="B381" s="201"/>
      <c r="C381" s="309"/>
      <c r="D381" s="203"/>
      <c r="E381" s="319" t="s">
        <v>367</v>
      </c>
      <c r="F381" s="319"/>
      <c r="G381" s="293" t="s">
        <v>30</v>
      </c>
      <c r="H381" s="293"/>
      <c r="I381" s="293" t="s">
        <v>30</v>
      </c>
      <c r="J381" s="293"/>
      <c r="L381" s="4"/>
    </row>
    <row r="382" spans="1:12">
      <c r="A382" s="203"/>
      <c r="B382" s="201"/>
      <c r="C382" s="309"/>
      <c r="D382" s="203"/>
      <c r="E382" s="319" t="s">
        <v>112</v>
      </c>
      <c r="F382" s="319"/>
      <c r="G382" s="293">
        <v>15</v>
      </c>
      <c r="H382" s="293"/>
      <c r="I382" s="293">
        <v>12</v>
      </c>
      <c r="J382" s="293"/>
      <c r="K382">
        <v>140</v>
      </c>
      <c r="L382" s="4">
        <f t="shared" ref="L382" si="42">G382*K382/1000</f>
        <v>2.1</v>
      </c>
    </row>
    <row r="383" spans="1:12">
      <c r="A383" s="203"/>
      <c r="B383" s="201"/>
      <c r="C383" s="309"/>
      <c r="D383" s="203"/>
      <c r="E383" s="319" t="s">
        <v>368</v>
      </c>
      <c r="F383" s="319"/>
      <c r="G383" s="293" t="s">
        <v>30</v>
      </c>
      <c r="H383" s="293"/>
      <c r="I383" s="293" t="s">
        <v>30</v>
      </c>
      <c r="J383" s="293"/>
      <c r="L383" s="4"/>
    </row>
    <row r="384" spans="1:12">
      <c r="A384" s="203"/>
      <c r="B384" s="201"/>
      <c r="C384" s="309"/>
      <c r="D384" s="203"/>
      <c r="E384" s="319" t="s">
        <v>369</v>
      </c>
      <c r="F384" s="319"/>
      <c r="G384" s="293">
        <v>11.28</v>
      </c>
      <c r="H384" s="293"/>
      <c r="I384" s="293">
        <v>9</v>
      </c>
      <c r="J384" s="293"/>
      <c r="L384" s="4"/>
    </row>
    <row r="385" spans="1:12">
      <c r="A385" s="203"/>
      <c r="B385" s="201"/>
      <c r="C385" s="309"/>
      <c r="D385" s="203"/>
      <c r="E385" s="319" t="s">
        <v>99</v>
      </c>
      <c r="F385" s="319"/>
      <c r="G385" s="293">
        <v>10.74</v>
      </c>
      <c r="H385" s="293"/>
      <c r="I385" s="293">
        <v>9</v>
      </c>
      <c r="J385" s="293"/>
      <c r="K385">
        <v>20</v>
      </c>
      <c r="L385" s="4">
        <f t="shared" ref="L385" si="43">G385*K385/1000</f>
        <v>0.21480000000000002</v>
      </c>
    </row>
    <row r="386" spans="1:12">
      <c r="A386" s="203"/>
      <c r="B386" s="201"/>
      <c r="C386" s="309"/>
      <c r="D386" s="203"/>
      <c r="E386" s="319" t="s">
        <v>370</v>
      </c>
      <c r="F386" s="319"/>
      <c r="G386" s="293" t="s">
        <v>30</v>
      </c>
      <c r="H386" s="293"/>
      <c r="I386" s="293" t="s">
        <v>30</v>
      </c>
      <c r="J386" s="293"/>
      <c r="L386" s="4"/>
    </row>
    <row r="387" spans="1:12">
      <c r="A387" s="203"/>
      <c r="B387" s="201"/>
      <c r="C387" s="309"/>
      <c r="D387" s="203"/>
      <c r="E387" s="319" t="s">
        <v>117</v>
      </c>
      <c r="F387" s="319"/>
      <c r="G387" s="293">
        <v>3.6</v>
      </c>
      <c r="H387" s="293"/>
      <c r="I387" s="293">
        <v>3.6</v>
      </c>
      <c r="J387" s="293"/>
      <c r="K387">
        <v>140</v>
      </c>
      <c r="L387" s="4">
        <f t="shared" ref="L387" si="44">G387*K387/1000</f>
        <v>0.504</v>
      </c>
    </row>
    <row r="388" spans="1:12">
      <c r="A388" s="203"/>
      <c r="B388" s="201"/>
      <c r="C388" s="309"/>
      <c r="D388" s="203"/>
      <c r="E388" s="314" t="s">
        <v>21</v>
      </c>
      <c r="F388" s="314"/>
      <c r="G388" s="315">
        <v>60</v>
      </c>
      <c r="H388" s="316"/>
      <c r="I388" s="316"/>
      <c r="J388" s="317"/>
    </row>
    <row r="389" spans="1:12">
      <c r="A389" s="203"/>
      <c r="B389" s="201"/>
      <c r="C389" s="309"/>
      <c r="D389" s="203"/>
      <c r="E389" s="344"/>
      <c r="F389" s="344"/>
      <c r="G389" s="345"/>
      <c r="H389" s="345"/>
      <c r="I389" s="346"/>
      <c r="J389" s="346"/>
    </row>
    <row r="390" spans="1:12">
      <c r="A390" s="203"/>
      <c r="B390" s="201"/>
      <c r="C390" s="309"/>
      <c r="D390" s="203"/>
      <c r="E390" s="203"/>
      <c r="F390" s="203"/>
      <c r="G390" s="203"/>
      <c r="H390" s="203"/>
      <c r="I390" s="203"/>
      <c r="J390" s="203"/>
    </row>
    <row r="391" spans="1:12">
      <c r="A391" s="203"/>
      <c r="B391" s="201" t="s">
        <v>297</v>
      </c>
      <c r="C391" s="309">
        <v>200</v>
      </c>
      <c r="D391" s="203"/>
      <c r="E391" s="203"/>
      <c r="F391" s="203"/>
      <c r="G391" s="203"/>
      <c r="H391" s="203"/>
      <c r="I391" s="203"/>
      <c r="J391" s="203"/>
      <c r="L391" s="269">
        <f>SUM(L392:L399)</f>
        <v>7.1876399999999991</v>
      </c>
    </row>
    <row r="392" spans="1:12">
      <c r="A392" s="203"/>
      <c r="B392" s="201"/>
      <c r="C392" s="309">
        <v>10</v>
      </c>
      <c r="D392" s="203"/>
      <c r="E392" s="318" t="s">
        <v>107</v>
      </c>
      <c r="F392" s="318"/>
      <c r="G392" s="294">
        <v>15</v>
      </c>
      <c r="H392" s="294"/>
      <c r="I392" s="294">
        <v>12</v>
      </c>
      <c r="J392" s="294"/>
      <c r="K392">
        <v>270</v>
      </c>
      <c r="L392" s="4">
        <f t="shared" ref="L392:L399" si="45">G392*K392/1000</f>
        <v>4.05</v>
      </c>
    </row>
    <row r="393" spans="1:12">
      <c r="A393" s="203"/>
      <c r="B393" s="201"/>
      <c r="C393" s="309"/>
      <c r="D393" s="203"/>
      <c r="E393" s="309" t="s">
        <v>85</v>
      </c>
      <c r="F393" s="309"/>
      <c r="G393" s="310">
        <v>9</v>
      </c>
      <c r="H393" s="310"/>
      <c r="I393" s="310">
        <v>7</v>
      </c>
      <c r="J393" s="310"/>
      <c r="K393">
        <v>30</v>
      </c>
      <c r="L393" s="4">
        <f t="shared" si="45"/>
        <v>0.27</v>
      </c>
    </row>
    <row r="394" spans="1:12">
      <c r="A394" s="203"/>
      <c r="B394" s="201"/>
      <c r="C394" s="309"/>
      <c r="D394" s="203"/>
      <c r="E394" s="313" t="s">
        <v>86</v>
      </c>
      <c r="F394" s="313"/>
      <c r="G394" s="310">
        <v>9</v>
      </c>
      <c r="H394" s="310"/>
      <c r="I394" s="310">
        <v>8</v>
      </c>
      <c r="J394" s="310"/>
      <c r="K394">
        <v>20</v>
      </c>
      <c r="L394" s="4">
        <f t="shared" si="45"/>
        <v>0.18</v>
      </c>
    </row>
    <row r="395" spans="1:12">
      <c r="A395" s="203"/>
      <c r="B395" s="201"/>
      <c r="C395" s="309"/>
      <c r="D395" s="203"/>
      <c r="E395" s="313" t="s">
        <v>105</v>
      </c>
      <c r="F395" s="313"/>
      <c r="G395" s="310">
        <v>16</v>
      </c>
      <c r="H395" s="310"/>
      <c r="I395" s="310">
        <v>16</v>
      </c>
      <c r="J395" s="310"/>
      <c r="K395">
        <v>55</v>
      </c>
      <c r="L395" s="4">
        <f t="shared" si="45"/>
        <v>0.88</v>
      </c>
    </row>
    <row r="396" spans="1:12">
      <c r="A396" s="203"/>
      <c r="B396" s="201"/>
      <c r="C396" s="309"/>
      <c r="D396" s="203"/>
      <c r="E396" s="313" t="s">
        <v>81</v>
      </c>
      <c r="F396" s="313"/>
      <c r="G396" s="310">
        <v>1</v>
      </c>
      <c r="H396" s="310"/>
      <c r="I396" s="310">
        <v>1</v>
      </c>
      <c r="J396" s="310"/>
      <c r="K396">
        <v>140</v>
      </c>
      <c r="L396" s="4">
        <f t="shared" si="45"/>
        <v>0.14000000000000001</v>
      </c>
    </row>
    <row r="397" spans="1:12">
      <c r="A397" s="203"/>
      <c r="B397" s="201"/>
      <c r="C397" s="309"/>
      <c r="D397" s="203"/>
      <c r="E397" s="313" t="s">
        <v>20</v>
      </c>
      <c r="F397" s="313"/>
      <c r="G397" s="310">
        <v>2</v>
      </c>
      <c r="H397" s="310"/>
      <c r="I397" s="310">
        <v>2</v>
      </c>
      <c r="J397" s="310"/>
      <c r="K397">
        <v>550</v>
      </c>
      <c r="L397" s="4">
        <f t="shared" si="45"/>
        <v>1.1000000000000001</v>
      </c>
    </row>
    <row r="398" spans="1:12">
      <c r="A398" s="203"/>
      <c r="B398" s="201"/>
      <c r="C398" s="309"/>
      <c r="D398" s="203"/>
      <c r="E398" s="311" t="s">
        <v>98</v>
      </c>
      <c r="F398" s="311"/>
      <c r="G398" s="312">
        <v>4</v>
      </c>
      <c r="H398" s="312"/>
      <c r="I398" s="312">
        <v>3</v>
      </c>
      <c r="J398" s="312"/>
      <c r="K398" s="261">
        <v>137.66</v>
      </c>
      <c r="L398" s="4">
        <f t="shared" si="45"/>
        <v>0.55064000000000002</v>
      </c>
    </row>
    <row r="399" spans="1:12" s="50" customFormat="1">
      <c r="A399" s="203"/>
      <c r="B399" s="201"/>
      <c r="C399" s="309"/>
      <c r="D399" s="203"/>
      <c r="E399" s="309" t="s">
        <v>94</v>
      </c>
      <c r="F399" s="309"/>
      <c r="G399" s="310">
        <v>1</v>
      </c>
      <c r="H399" s="310"/>
      <c r="I399" s="310">
        <v>1</v>
      </c>
      <c r="J399" s="310"/>
      <c r="K399">
        <v>17</v>
      </c>
      <c r="L399" s="4">
        <f t="shared" si="45"/>
        <v>1.7000000000000001E-2</v>
      </c>
    </row>
    <row r="400" spans="1:12">
      <c r="A400" s="203"/>
      <c r="B400" s="201"/>
      <c r="C400" s="309"/>
      <c r="D400" s="203"/>
      <c r="E400" s="288" t="s">
        <v>74</v>
      </c>
      <c r="F400" s="288"/>
      <c r="G400" s="289" t="s">
        <v>30</v>
      </c>
      <c r="H400" s="289"/>
      <c r="I400" s="289" t="s">
        <v>106</v>
      </c>
      <c r="J400" s="289"/>
    </row>
    <row r="401" spans="1:12">
      <c r="A401" s="203"/>
      <c r="B401" s="201"/>
      <c r="C401" s="309"/>
      <c r="D401" s="203"/>
      <c r="E401" s="203"/>
      <c r="F401" s="203"/>
      <c r="G401" s="203"/>
      <c r="H401" s="203"/>
      <c r="I401" s="203"/>
      <c r="J401" s="203"/>
    </row>
    <row r="402" spans="1:12">
      <c r="A402" s="203"/>
      <c r="B402" s="201" t="s">
        <v>114</v>
      </c>
      <c r="C402" s="309">
        <v>90</v>
      </c>
      <c r="D402" s="203"/>
      <c r="E402" s="203"/>
      <c r="F402" s="203"/>
      <c r="G402" s="203"/>
      <c r="H402" s="203"/>
      <c r="I402" s="203"/>
      <c r="J402" s="203"/>
      <c r="L402" s="269">
        <f>SUM(L403:L405)</f>
        <v>20.705700000000004</v>
      </c>
    </row>
    <row r="403" spans="1:12">
      <c r="A403" s="203"/>
      <c r="B403" s="201"/>
      <c r="C403" s="309"/>
      <c r="D403" s="203"/>
      <c r="E403" s="282" t="s">
        <v>371</v>
      </c>
      <c r="F403" s="282"/>
      <c r="G403" s="283">
        <v>110</v>
      </c>
      <c r="H403" s="283"/>
      <c r="I403" s="283">
        <v>96</v>
      </c>
      <c r="J403" s="283"/>
      <c r="K403">
        <v>185</v>
      </c>
      <c r="L403" s="4">
        <f t="shared" ref="L403:L405" si="46">G403*K403/1000</f>
        <v>20.350000000000001</v>
      </c>
    </row>
    <row r="404" spans="1:12">
      <c r="A404" s="203"/>
      <c r="B404" s="201"/>
      <c r="C404" s="309"/>
      <c r="D404" s="203"/>
      <c r="E404" s="284" t="s">
        <v>109</v>
      </c>
      <c r="F404" s="285"/>
      <c r="G404" s="286">
        <v>2</v>
      </c>
      <c r="H404" s="287"/>
      <c r="I404" s="286">
        <v>2</v>
      </c>
      <c r="J404" s="287"/>
      <c r="K404">
        <v>173.6</v>
      </c>
      <c r="L404" s="4">
        <f t="shared" si="46"/>
        <v>0.34720000000000001</v>
      </c>
    </row>
    <row r="405" spans="1:12">
      <c r="A405" s="203"/>
      <c r="B405" s="201"/>
      <c r="C405" s="309"/>
      <c r="D405" s="203"/>
      <c r="E405" s="282" t="s">
        <v>94</v>
      </c>
      <c r="F405" s="282"/>
      <c r="G405" s="283">
        <v>0.5</v>
      </c>
      <c r="H405" s="283"/>
      <c r="I405" s="283">
        <v>0.5</v>
      </c>
      <c r="J405" s="283"/>
      <c r="K405">
        <v>17</v>
      </c>
      <c r="L405" s="4">
        <f t="shared" si="46"/>
        <v>8.5000000000000006E-3</v>
      </c>
    </row>
    <row r="406" spans="1:12">
      <c r="A406" s="203"/>
      <c r="B406" s="201"/>
      <c r="C406" s="309"/>
      <c r="D406" s="203"/>
      <c r="E406" s="288" t="s">
        <v>74</v>
      </c>
      <c r="F406" s="288"/>
      <c r="G406" s="289" t="s">
        <v>30</v>
      </c>
      <c r="H406" s="289"/>
      <c r="I406" s="290">
        <v>90</v>
      </c>
      <c r="J406" s="290"/>
      <c r="L406" s="4"/>
    </row>
    <row r="407" spans="1:12">
      <c r="A407" s="203"/>
      <c r="B407" s="201"/>
      <c r="C407" s="309"/>
      <c r="D407" s="203"/>
      <c r="E407" s="203"/>
      <c r="F407" s="203"/>
      <c r="G407" s="203"/>
      <c r="H407" s="203"/>
      <c r="I407" s="203"/>
      <c r="J407" s="203"/>
    </row>
    <row r="408" spans="1:12">
      <c r="A408" s="203"/>
      <c r="B408" s="201" t="s">
        <v>299</v>
      </c>
      <c r="C408" s="309">
        <v>150</v>
      </c>
      <c r="D408" s="203"/>
      <c r="E408" s="203"/>
      <c r="F408" s="203"/>
      <c r="G408" s="294" t="s">
        <v>181</v>
      </c>
      <c r="H408" s="294"/>
      <c r="I408" s="294" t="s">
        <v>182</v>
      </c>
      <c r="J408" s="294"/>
      <c r="L408" s="254">
        <f>SUM(L409:L417)</f>
        <v>12.3405</v>
      </c>
    </row>
    <row r="409" spans="1:12">
      <c r="A409" s="203"/>
      <c r="B409" s="201"/>
      <c r="C409" s="309"/>
      <c r="D409" s="203"/>
      <c r="E409" s="282" t="s">
        <v>372</v>
      </c>
      <c r="F409" s="282"/>
      <c r="G409" s="283">
        <f>195*I418/150</f>
        <v>195</v>
      </c>
      <c r="H409" s="283"/>
      <c r="I409" s="283">
        <f>171*I418/150</f>
        <v>171</v>
      </c>
      <c r="J409" s="283"/>
      <c r="K409">
        <v>45</v>
      </c>
      <c r="L409">
        <f>G409*K409/1000</f>
        <v>8.7750000000000004</v>
      </c>
    </row>
    <row r="410" spans="1:12">
      <c r="A410" s="203"/>
      <c r="B410" s="201"/>
      <c r="C410" s="309"/>
      <c r="D410" s="203"/>
      <c r="E410" s="284" t="s">
        <v>81</v>
      </c>
      <c r="F410" s="285"/>
      <c r="G410" s="286">
        <f>5*I418/150</f>
        <v>5</v>
      </c>
      <c r="H410" s="287"/>
      <c r="I410" s="286">
        <f>G410</f>
        <v>5</v>
      </c>
      <c r="J410" s="287"/>
      <c r="K410">
        <v>140</v>
      </c>
      <c r="L410">
        <f t="shared" ref="L410:L417" si="47">G410*K410/1000</f>
        <v>0.7</v>
      </c>
    </row>
    <row r="411" spans="1:12">
      <c r="A411" s="203"/>
      <c r="B411" s="201"/>
      <c r="C411" s="309"/>
      <c r="D411" s="203"/>
      <c r="E411" s="284" t="s">
        <v>85</v>
      </c>
      <c r="F411" s="285"/>
      <c r="G411" s="286">
        <f>5*I418/150</f>
        <v>5</v>
      </c>
      <c r="H411" s="287"/>
      <c r="I411" s="286">
        <f>4*I418/150</f>
        <v>4</v>
      </c>
      <c r="J411" s="287"/>
      <c r="K411">
        <v>30</v>
      </c>
      <c r="L411">
        <f t="shared" si="47"/>
        <v>0.15</v>
      </c>
    </row>
    <row r="412" spans="1:12">
      <c r="A412" s="203"/>
      <c r="B412" s="201"/>
      <c r="C412" s="309"/>
      <c r="D412" s="203"/>
      <c r="E412" s="284" t="s">
        <v>86</v>
      </c>
      <c r="F412" s="285"/>
      <c r="G412" s="286">
        <f>6*I418/150</f>
        <v>6</v>
      </c>
      <c r="H412" s="287"/>
      <c r="I412" s="286">
        <f>5*I418/150</f>
        <v>5</v>
      </c>
      <c r="J412" s="287"/>
      <c r="K412">
        <v>20</v>
      </c>
      <c r="L412">
        <f t="shared" si="47"/>
        <v>0.12</v>
      </c>
    </row>
    <row r="413" spans="1:12">
      <c r="A413" s="203"/>
      <c r="B413" s="201"/>
      <c r="C413" s="309"/>
      <c r="D413" s="203"/>
      <c r="E413" s="284" t="s">
        <v>340</v>
      </c>
      <c r="F413" s="285"/>
      <c r="G413" s="296">
        <f>6*I418/150</f>
        <v>6</v>
      </c>
      <c r="H413" s="297"/>
      <c r="I413" s="286">
        <f>G413</f>
        <v>6</v>
      </c>
      <c r="J413" s="287"/>
      <c r="K413">
        <v>135</v>
      </c>
      <c r="L413">
        <f t="shared" si="47"/>
        <v>0.81</v>
      </c>
    </row>
    <row r="414" spans="1:12">
      <c r="A414" s="203"/>
      <c r="B414" s="201"/>
      <c r="C414" s="309"/>
      <c r="D414" s="203"/>
      <c r="E414" s="284" t="s">
        <v>373</v>
      </c>
      <c r="F414" s="285"/>
      <c r="G414" s="286">
        <f>3*I418/150</f>
        <v>3</v>
      </c>
      <c r="H414" s="287"/>
      <c r="I414" s="286">
        <f>G414</f>
        <v>3</v>
      </c>
      <c r="J414" s="287"/>
      <c r="K414">
        <v>500</v>
      </c>
      <c r="L414">
        <f t="shared" si="47"/>
        <v>1.5</v>
      </c>
    </row>
    <row r="415" spans="1:12">
      <c r="A415" s="203"/>
      <c r="B415" s="201"/>
      <c r="C415" s="309"/>
      <c r="D415" s="203"/>
      <c r="E415" s="284" t="s">
        <v>115</v>
      </c>
      <c r="F415" s="285"/>
      <c r="G415" s="286">
        <f>1.5*I418/150</f>
        <v>1.5</v>
      </c>
      <c r="H415" s="287"/>
      <c r="I415" s="286">
        <f>G415</f>
        <v>1.5</v>
      </c>
      <c r="J415" s="287"/>
      <c r="K415">
        <v>37</v>
      </c>
      <c r="L415">
        <f t="shared" si="47"/>
        <v>5.5500000000000001E-2</v>
      </c>
    </row>
    <row r="416" spans="1:12">
      <c r="A416" s="203"/>
      <c r="B416" s="201"/>
      <c r="C416" s="309"/>
      <c r="D416" s="203"/>
      <c r="E416" s="284" t="s">
        <v>103</v>
      </c>
      <c r="F416" s="285"/>
      <c r="G416" s="286">
        <f>4*I418/150</f>
        <v>4</v>
      </c>
      <c r="H416" s="287"/>
      <c r="I416" s="286">
        <f>G416</f>
        <v>4</v>
      </c>
      <c r="J416" s="287"/>
      <c r="K416">
        <v>55</v>
      </c>
      <c r="L416">
        <f t="shared" si="47"/>
        <v>0.22</v>
      </c>
    </row>
    <row r="417" spans="1:12">
      <c r="A417" s="203"/>
      <c r="B417" s="201"/>
      <c r="C417" s="309"/>
      <c r="D417" s="203"/>
      <c r="E417" s="305" t="s">
        <v>101</v>
      </c>
      <c r="F417" s="306"/>
      <c r="G417" s="307">
        <f>0.01*I418/150</f>
        <v>0.01</v>
      </c>
      <c r="H417" s="308"/>
      <c r="I417" s="307">
        <f>G417</f>
        <v>0.01</v>
      </c>
      <c r="J417" s="308"/>
      <c r="K417">
        <v>1000</v>
      </c>
      <c r="L417">
        <f t="shared" si="47"/>
        <v>0.01</v>
      </c>
    </row>
    <row r="418" spans="1:12">
      <c r="A418" s="203"/>
      <c r="B418" s="201"/>
      <c r="C418" s="309"/>
      <c r="D418" s="203"/>
      <c r="E418" s="288" t="s">
        <v>74</v>
      </c>
      <c r="F418" s="288"/>
      <c r="G418" s="289" t="s">
        <v>30</v>
      </c>
      <c r="H418" s="289"/>
      <c r="I418" s="290">
        <v>150</v>
      </c>
      <c r="J418" s="290"/>
    </row>
    <row r="419" spans="1:12">
      <c r="A419" s="203"/>
      <c r="B419" s="201"/>
      <c r="C419" s="309"/>
      <c r="D419" s="203"/>
      <c r="E419" s="203"/>
      <c r="F419" s="203"/>
      <c r="G419" s="203"/>
      <c r="H419" s="203"/>
      <c r="I419" s="203"/>
      <c r="J419" s="203"/>
    </row>
    <row r="420" spans="1:12">
      <c r="A420" s="203"/>
      <c r="B420" s="201" t="s">
        <v>331</v>
      </c>
      <c r="C420" s="309">
        <v>200</v>
      </c>
      <c r="D420" s="203"/>
      <c r="E420" s="203"/>
      <c r="F420" s="203"/>
      <c r="G420" s="294" t="s">
        <v>181</v>
      </c>
      <c r="H420" s="294"/>
      <c r="I420" s="294" t="s">
        <v>182</v>
      </c>
      <c r="J420" s="294"/>
      <c r="L420" s="50">
        <f>SUM(L421:L423)</f>
        <v>2.7780000000000005</v>
      </c>
    </row>
    <row r="421" spans="1:12">
      <c r="A421" s="203"/>
      <c r="B421" s="201"/>
      <c r="C421" s="309"/>
      <c r="D421" s="203"/>
      <c r="E421" s="282" t="s">
        <v>145</v>
      </c>
      <c r="F421" s="282"/>
      <c r="G421" s="283">
        <f>20*I424/180</f>
        <v>22.222222222222221</v>
      </c>
      <c r="H421" s="283"/>
      <c r="I421" s="283">
        <f>G421</f>
        <v>22.222222222222221</v>
      </c>
      <c r="J421" s="283"/>
      <c r="K421">
        <v>97.51</v>
      </c>
      <c r="L421">
        <f t="shared" ref="L421:L423" si="48">G421*K421/1000</f>
        <v>2.1668888888888893</v>
      </c>
    </row>
    <row r="422" spans="1:12">
      <c r="A422" s="203"/>
      <c r="B422" s="201"/>
      <c r="C422" s="309"/>
      <c r="D422" s="203"/>
      <c r="E422" s="284" t="s">
        <v>103</v>
      </c>
      <c r="F422" s="285"/>
      <c r="G422" s="286">
        <f>10*I424/180</f>
        <v>11.111111111111111</v>
      </c>
      <c r="H422" s="287"/>
      <c r="I422" s="286">
        <f>G422</f>
        <v>11.111111111111111</v>
      </c>
      <c r="J422" s="287"/>
      <c r="K422">
        <v>55</v>
      </c>
      <c r="L422">
        <f t="shared" si="48"/>
        <v>0.61111111111111105</v>
      </c>
    </row>
    <row r="423" spans="1:12">
      <c r="A423" s="203"/>
      <c r="B423" s="201"/>
      <c r="C423" s="309"/>
      <c r="D423" s="203"/>
      <c r="E423" s="284" t="s">
        <v>27</v>
      </c>
      <c r="F423" s="285"/>
      <c r="G423" s="286">
        <f>180*I424/180</f>
        <v>200</v>
      </c>
      <c r="H423" s="287"/>
      <c r="I423" s="286">
        <f>G423</f>
        <v>200</v>
      </c>
      <c r="J423" s="287"/>
      <c r="L423">
        <f t="shared" si="48"/>
        <v>0</v>
      </c>
    </row>
    <row r="424" spans="1:12">
      <c r="A424" s="203"/>
      <c r="B424" s="201"/>
      <c r="C424" s="309"/>
      <c r="D424" s="203"/>
      <c r="E424" s="288" t="s">
        <v>74</v>
      </c>
      <c r="F424" s="288"/>
      <c r="G424" s="289" t="s">
        <v>30</v>
      </c>
      <c r="H424" s="289"/>
      <c r="I424" s="290">
        <v>200</v>
      </c>
      <c r="J424" s="290"/>
    </row>
    <row r="425" spans="1:12">
      <c r="A425" s="203"/>
      <c r="B425" s="201"/>
      <c r="C425" s="309"/>
      <c r="D425" s="203"/>
      <c r="E425" s="203"/>
      <c r="F425" s="203"/>
      <c r="G425" s="203"/>
      <c r="H425" s="203"/>
      <c r="I425" s="203"/>
      <c r="J425" s="203"/>
    </row>
    <row r="426" spans="1:12">
      <c r="A426" s="203"/>
      <c r="B426" s="201" t="s">
        <v>263</v>
      </c>
      <c r="C426" s="309">
        <v>40</v>
      </c>
      <c r="D426" s="203"/>
      <c r="E426" s="282" t="s">
        <v>263</v>
      </c>
      <c r="F426" s="282"/>
      <c r="G426" s="283">
        <v>40</v>
      </c>
      <c r="H426" s="283"/>
      <c r="I426" s="283">
        <v>40</v>
      </c>
      <c r="J426" s="283"/>
      <c r="K426">
        <v>29.72</v>
      </c>
      <c r="L426" s="254">
        <f>K426/1000*G426</f>
        <v>1.1888000000000001</v>
      </c>
    </row>
    <row r="427" spans="1:12">
      <c r="A427" s="203"/>
      <c r="B427" s="201"/>
      <c r="C427" s="309"/>
      <c r="D427" s="203"/>
      <c r="E427" s="203"/>
      <c r="F427" s="203"/>
      <c r="G427" s="203"/>
      <c r="H427" s="203"/>
      <c r="I427" s="203"/>
      <c r="J427" s="203"/>
    </row>
    <row r="428" spans="1:12">
      <c r="A428" s="203"/>
      <c r="B428" s="201" t="s">
        <v>4</v>
      </c>
      <c r="C428" s="309">
        <v>30</v>
      </c>
      <c r="D428" s="203"/>
      <c r="E428" s="282" t="s">
        <v>4</v>
      </c>
      <c r="F428" s="282"/>
      <c r="G428" s="283">
        <v>30</v>
      </c>
      <c r="H428" s="283"/>
      <c r="I428" s="283">
        <v>30</v>
      </c>
      <c r="J428" s="283"/>
      <c r="K428">
        <v>45.54</v>
      </c>
      <c r="L428" s="254">
        <f>K428/1000*G428</f>
        <v>1.3661999999999999</v>
      </c>
    </row>
    <row r="429" spans="1:12">
      <c r="A429" s="203" t="s">
        <v>379</v>
      </c>
      <c r="B429" s="201"/>
      <c r="C429" s="309"/>
      <c r="D429" s="203"/>
      <c r="E429" s="203"/>
      <c r="F429" s="203"/>
      <c r="G429" s="203"/>
      <c r="H429" s="203"/>
      <c r="I429" s="203"/>
      <c r="J429" s="203"/>
    </row>
    <row r="430" spans="1:12">
      <c r="A430" s="203"/>
      <c r="B430" s="201" t="s">
        <v>350</v>
      </c>
      <c r="C430" s="309">
        <v>60</v>
      </c>
      <c r="D430" s="203"/>
      <c r="E430" s="203"/>
      <c r="F430" s="203"/>
      <c r="G430" s="294" t="s">
        <v>181</v>
      </c>
      <c r="H430" s="294"/>
      <c r="I430" s="294" t="s">
        <v>182</v>
      </c>
      <c r="J430" s="294"/>
      <c r="L430" s="50">
        <f>SUM(L431:L432)</f>
        <v>5.298</v>
      </c>
    </row>
    <row r="431" spans="1:12">
      <c r="A431" s="203"/>
      <c r="B431" s="201"/>
      <c r="C431" s="309"/>
      <c r="D431" s="203"/>
      <c r="E431" s="282" t="s">
        <v>350</v>
      </c>
      <c r="F431" s="282"/>
      <c r="G431" s="283">
        <v>60</v>
      </c>
      <c r="H431" s="283"/>
      <c r="I431" s="283">
        <v>60</v>
      </c>
      <c r="J431" s="283"/>
      <c r="K431">
        <v>88.3</v>
      </c>
      <c r="L431">
        <f>G431*K431/1000</f>
        <v>5.298</v>
      </c>
    </row>
    <row r="432" spans="1:12">
      <c r="A432" s="203"/>
      <c r="B432" s="201"/>
      <c r="C432" s="309"/>
      <c r="D432" s="203"/>
      <c r="E432" s="301"/>
      <c r="F432" s="302"/>
      <c r="G432" s="303"/>
      <c r="H432" s="304"/>
      <c r="I432" s="303"/>
      <c r="J432" s="304"/>
    </row>
    <row r="433" spans="1:12">
      <c r="A433" s="203"/>
      <c r="B433" s="201"/>
      <c r="C433" s="309"/>
      <c r="D433" s="203"/>
      <c r="E433" s="203"/>
      <c r="F433" s="203"/>
      <c r="G433" s="203"/>
      <c r="H433" s="203"/>
      <c r="I433" s="203"/>
      <c r="J433" s="203"/>
    </row>
    <row r="434" spans="1:12">
      <c r="A434" s="203"/>
      <c r="B434" s="210" t="s">
        <v>375</v>
      </c>
      <c r="C434" s="275">
        <v>200</v>
      </c>
      <c r="D434" s="203"/>
      <c r="E434" s="203"/>
      <c r="F434" s="203"/>
      <c r="G434" s="203"/>
      <c r="H434" s="203"/>
      <c r="I434" s="203"/>
      <c r="J434" s="203"/>
      <c r="L434" s="269">
        <f>SUM(L435:L443)</f>
        <v>3.0424000000000002</v>
      </c>
    </row>
    <row r="435" spans="1:12">
      <c r="A435" s="203"/>
      <c r="B435" s="201"/>
      <c r="C435" s="309"/>
      <c r="D435" s="203"/>
      <c r="E435" s="282" t="s">
        <v>376</v>
      </c>
      <c r="F435" s="282"/>
      <c r="G435" s="283">
        <v>140</v>
      </c>
      <c r="H435" s="283"/>
      <c r="I435" s="283">
        <v>140</v>
      </c>
      <c r="J435" s="283"/>
      <c r="L435" s="251">
        <f t="shared" ref="L435:L443" si="49">K435/1000*G435</f>
        <v>0</v>
      </c>
    </row>
    <row r="436" spans="1:12">
      <c r="A436" s="203"/>
      <c r="B436" s="201"/>
      <c r="C436" s="309"/>
      <c r="D436" s="203"/>
      <c r="E436" s="284" t="s">
        <v>105</v>
      </c>
      <c r="F436" s="285"/>
      <c r="G436" s="286">
        <v>1.6</v>
      </c>
      <c r="H436" s="287"/>
      <c r="I436" s="286">
        <v>1.6</v>
      </c>
      <c r="J436" s="287"/>
      <c r="K436">
        <v>50</v>
      </c>
      <c r="L436" s="251">
        <f t="shared" si="49"/>
        <v>8.0000000000000016E-2</v>
      </c>
    </row>
    <row r="437" spans="1:12">
      <c r="A437" s="203"/>
      <c r="B437" s="201"/>
      <c r="C437" s="309"/>
      <c r="D437" s="203"/>
      <c r="E437" s="284" t="s">
        <v>85</v>
      </c>
      <c r="F437" s="285"/>
      <c r="G437" s="286">
        <v>10</v>
      </c>
      <c r="H437" s="287"/>
      <c r="I437" s="286">
        <v>8</v>
      </c>
      <c r="J437" s="287"/>
      <c r="K437">
        <v>30</v>
      </c>
      <c r="L437" s="251">
        <f t="shared" si="49"/>
        <v>0.3</v>
      </c>
    </row>
    <row r="438" spans="1:12">
      <c r="A438" s="203"/>
      <c r="B438" s="201"/>
      <c r="C438" s="309"/>
      <c r="D438" s="203"/>
      <c r="E438" s="284" t="s">
        <v>363</v>
      </c>
      <c r="F438" s="285"/>
      <c r="G438" s="299">
        <v>0.01</v>
      </c>
      <c r="H438" s="300"/>
      <c r="I438" s="299">
        <v>0.01</v>
      </c>
      <c r="J438" s="300"/>
      <c r="L438" s="251">
        <f t="shared" si="49"/>
        <v>0</v>
      </c>
    </row>
    <row r="439" spans="1:12">
      <c r="A439" s="203"/>
      <c r="B439" s="201"/>
      <c r="C439" s="309"/>
      <c r="D439" s="203"/>
      <c r="E439" s="284" t="s">
        <v>86</v>
      </c>
      <c r="F439" s="285"/>
      <c r="G439" s="286">
        <v>9.6</v>
      </c>
      <c r="H439" s="287"/>
      <c r="I439" s="286">
        <v>8</v>
      </c>
      <c r="J439" s="287"/>
      <c r="K439">
        <v>20</v>
      </c>
      <c r="L439" s="251">
        <f t="shared" si="49"/>
        <v>0.192</v>
      </c>
    </row>
    <row r="440" spans="1:12">
      <c r="A440" s="203"/>
      <c r="B440" s="201"/>
      <c r="C440" s="309"/>
      <c r="D440" s="203"/>
      <c r="E440" s="284" t="s">
        <v>81</v>
      </c>
      <c r="F440" s="285"/>
      <c r="G440" s="286">
        <v>2</v>
      </c>
      <c r="H440" s="287"/>
      <c r="I440" s="286">
        <v>2</v>
      </c>
      <c r="J440" s="287"/>
      <c r="K440">
        <v>140</v>
      </c>
      <c r="L440" s="251">
        <f t="shared" si="49"/>
        <v>0.28000000000000003</v>
      </c>
    </row>
    <row r="441" spans="1:12">
      <c r="A441" s="203"/>
      <c r="B441" s="201"/>
      <c r="C441" s="309"/>
      <c r="D441" s="203"/>
      <c r="E441" s="284" t="s">
        <v>84</v>
      </c>
      <c r="F441" s="285"/>
      <c r="G441" s="286">
        <v>80</v>
      </c>
      <c r="H441" s="287"/>
      <c r="I441" s="286">
        <v>60</v>
      </c>
      <c r="J441" s="287"/>
      <c r="K441">
        <v>27</v>
      </c>
      <c r="L441" s="251">
        <f t="shared" si="49"/>
        <v>2.16</v>
      </c>
    </row>
    <row r="442" spans="1:12">
      <c r="A442" s="203"/>
      <c r="B442" s="201"/>
      <c r="C442" s="309"/>
      <c r="D442" s="203"/>
      <c r="E442" s="282" t="s">
        <v>94</v>
      </c>
      <c r="F442" s="282"/>
      <c r="G442" s="283">
        <v>1.2</v>
      </c>
      <c r="H442" s="283"/>
      <c r="I442" s="283">
        <v>1</v>
      </c>
      <c r="J442" s="283"/>
      <c r="K442">
        <v>17</v>
      </c>
      <c r="L442" s="251">
        <f t="shared" si="49"/>
        <v>2.0400000000000001E-2</v>
      </c>
    </row>
    <row r="443" spans="1:12">
      <c r="A443" s="203"/>
      <c r="B443" s="201"/>
      <c r="C443" s="309"/>
      <c r="D443" s="203"/>
      <c r="E443" s="282" t="s">
        <v>101</v>
      </c>
      <c r="F443" s="282"/>
      <c r="G443" s="298">
        <v>0.01</v>
      </c>
      <c r="H443" s="298"/>
      <c r="I443" s="283">
        <v>0.01</v>
      </c>
      <c r="J443" s="283"/>
      <c r="K443">
        <v>1000</v>
      </c>
      <c r="L443" s="251">
        <f t="shared" si="49"/>
        <v>0.01</v>
      </c>
    </row>
    <row r="444" spans="1:12">
      <c r="A444" s="203"/>
      <c r="B444" s="201"/>
      <c r="C444" s="309"/>
      <c r="D444" s="203"/>
      <c r="E444" s="288" t="s">
        <v>74</v>
      </c>
      <c r="F444" s="288"/>
      <c r="G444" s="289" t="s">
        <v>30</v>
      </c>
      <c r="H444" s="289"/>
      <c r="I444" s="290">
        <v>200</v>
      </c>
      <c r="J444" s="290"/>
    </row>
    <row r="445" spans="1:12">
      <c r="A445" s="203"/>
      <c r="B445" s="201"/>
      <c r="C445" s="309"/>
      <c r="D445" s="203"/>
      <c r="E445" s="203"/>
      <c r="F445" s="203"/>
      <c r="G445" s="203"/>
      <c r="H445" s="203"/>
      <c r="I445" s="203"/>
      <c r="J445" s="203"/>
    </row>
    <row r="446" spans="1:12">
      <c r="A446" s="203"/>
      <c r="B446" s="201" t="s">
        <v>71</v>
      </c>
      <c r="C446" s="309">
        <v>90</v>
      </c>
      <c r="D446" s="203"/>
      <c r="E446" s="203"/>
      <c r="F446" s="203"/>
      <c r="G446" s="294" t="s">
        <v>181</v>
      </c>
      <c r="H446" s="294"/>
      <c r="I446" s="294" t="s">
        <v>182</v>
      </c>
      <c r="J446" s="294"/>
      <c r="L446" s="254">
        <f>SUM(L447:L452)</f>
        <v>27.560709999999997</v>
      </c>
    </row>
    <row r="447" spans="1:12">
      <c r="A447" s="203"/>
      <c r="B447" s="201"/>
      <c r="C447" s="309"/>
      <c r="D447" s="203"/>
      <c r="E447" s="282" t="s">
        <v>92</v>
      </c>
      <c r="F447" s="282"/>
      <c r="G447" s="283">
        <v>87</v>
      </c>
      <c r="H447" s="283"/>
      <c r="I447" s="283">
        <v>77</v>
      </c>
      <c r="J447" s="283"/>
      <c r="K447">
        <v>270</v>
      </c>
      <c r="L447">
        <f>K447*G447/1000</f>
        <v>23.49</v>
      </c>
    </row>
    <row r="448" spans="1:12">
      <c r="A448" s="203"/>
      <c r="B448" s="201"/>
      <c r="C448" s="309"/>
      <c r="D448" s="203"/>
      <c r="E448" s="284" t="s">
        <v>4</v>
      </c>
      <c r="F448" s="285"/>
      <c r="G448" s="286">
        <v>14.5</v>
      </c>
      <c r="H448" s="287"/>
      <c r="I448" s="286">
        <v>14.5</v>
      </c>
      <c r="J448" s="287"/>
      <c r="K448">
        <v>45.54</v>
      </c>
      <c r="L448">
        <f t="shared" ref="L448:L452" si="50">K448*G448/1000</f>
        <v>0.66033000000000008</v>
      </c>
    </row>
    <row r="449" spans="1:12">
      <c r="A449" s="203"/>
      <c r="B449" s="201"/>
      <c r="C449" s="309"/>
      <c r="D449" s="203"/>
      <c r="E449" s="284" t="s">
        <v>26</v>
      </c>
      <c r="F449" s="285"/>
      <c r="G449" s="286">
        <v>22</v>
      </c>
      <c r="H449" s="287"/>
      <c r="I449" s="286">
        <v>22</v>
      </c>
      <c r="J449" s="287"/>
      <c r="K449">
        <v>48.19</v>
      </c>
      <c r="L449">
        <f t="shared" si="50"/>
        <v>1.0601799999999999</v>
      </c>
    </row>
    <row r="450" spans="1:12">
      <c r="A450" s="203"/>
      <c r="B450" s="201"/>
      <c r="C450" s="309"/>
      <c r="D450" s="203"/>
      <c r="E450" s="284" t="s">
        <v>93</v>
      </c>
      <c r="F450" s="285"/>
      <c r="G450" s="286">
        <v>10</v>
      </c>
      <c r="H450" s="287"/>
      <c r="I450" s="286">
        <v>10</v>
      </c>
      <c r="J450" s="287"/>
      <c r="K450">
        <v>150</v>
      </c>
      <c r="L450">
        <f t="shared" si="50"/>
        <v>1.5</v>
      </c>
    </row>
    <row r="451" spans="1:12">
      <c r="A451" s="203"/>
      <c r="B451" s="201"/>
      <c r="C451" s="309"/>
      <c r="D451" s="203"/>
      <c r="E451" s="284" t="s">
        <v>81</v>
      </c>
      <c r="F451" s="285"/>
      <c r="G451" s="296">
        <v>6</v>
      </c>
      <c r="H451" s="297"/>
      <c r="I451" s="286">
        <v>6</v>
      </c>
      <c r="J451" s="287"/>
      <c r="K451">
        <v>140</v>
      </c>
      <c r="L451">
        <f t="shared" si="50"/>
        <v>0.84</v>
      </c>
    </row>
    <row r="452" spans="1:12">
      <c r="A452" s="203"/>
      <c r="B452" s="201"/>
      <c r="C452" s="309"/>
      <c r="D452" s="203"/>
      <c r="E452" s="282" t="s">
        <v>94</v>
      </c>
      <c r="F452" s="282"/>
      <c r="G452" s="283">
        <v>0.6</v>
      </c>
      <c r="H452" s="283"/>
      <c r="I452" s="283">
        <v>0.6</v>
      </c>
      <c r="J452" s="283"/>
      <c r="K452">
        <v>17</v>
      </c>
      <c r="L452">
        <f t="shared" si="50"/>
        <v>1.0199999999999999E-2</v>
      </c>
    </row>
    <row r="453" spans="1:12">
      <c r="A453" s="203"/>
      <c r="B453" s="201"/>
      <c r="C453" s="309"/>
      <c r="D453" s="203"/>
      <c r="E453" s="288" t="s">
        <v>74</v>
      </c>
      <c r="F453" s="288"/>
      <c r="G453" s="289" t="s">
        <v>30</v>
      </c>
      <c r="H453" s="289"/>
      <c r="I453" s="290">
        <v>90</v>
      </c>
      <c r="J453" s="290"/>
    </row>
    <row r="454" spans="1:12">
      <c r="A454" s="203"/>
      <c r="B454" s="201"/>
      <c r="C454" s="309"/>
      <c r="D454" s="203"/>
      <c r="E454" s="203"/>
      <c r="F454" s="203"/>
      <c r="G454" s="203"/>
      <c r="H454" s="203"/>
      <c r="I454" s="203"/>
      <c r="J454" s="203"/>
    </row>
    <row r="455" spans="1:12">
      <c r="A455" s="203"/>
      <c r="B455" s="201" t="s">
        <v>377</v>
      </c>
      <c r="C455" s="309">
        <v>150</v>
      </c>
      <c r="D455" s="203"/>
      <c r="E455" s="203"/>
      <c r="F455" s="203"/>
      <c r="G455" s="203"/>
      <c r="H455" s="203"/>
      <c r="I455" s="203"/>
      <c r="J455" s="203"/>
      <c r="L455" s="269">
        <f>SUM(L456:L459)</f>
        <v>6.3334000000000001</v>
      </c>
    </row>
    <row r="456" spans="1:12">
      <c r="A456" s="203"/>
      <c r="B456" s="201"/>
      <c r="C456" s="309"/>
      <c r="D456" s="203"/>
      <c r="E456" s="282" t="s">
        <v>27</v>
      </c>
      <c r="F456" s="282"/>
      <c r="G456" s="283">
        <v>120</v>
      </c>
      <c r="H456" s="283"/>
      <c r="I456" s="283">
        <v>120</v>
      </c>
      <c r="J456" s="283"/>
      <c r="L456">
        <f t="shared" ref="L456:L459" si="51">K456*G456/1000</f>
        <v>0</v>
      </c>
    </row>
    <row r="457" spans="1:12">
      <c r="A457" s="203"/>
      <c r="B457" s="201"/>
      <c r="C457" s="309"/>
      <c r="D457" s="203"/>
      <c r="E457" s="284" t="s">
        <v>113</v>
      </c>
      <c r="F457" s="285"/>
      <c r="G457" s="286">
        <v>52</v>
      </c>
      <c r="H457" s="287"/>
      <c r="I457" s="286">
        <v>52</v>
      </c>
      <c r="J457" s="287"/>
      <c r="K457">
        <v>90</v>
      </c>
      <c r="L457">
        <f t="shared" si="51"/>
        <v>4.68</v>
      </c>
    </row>
    <row r="458" spans="1:12">
      <c r="A458" s="203"/>
      <c r="B458" s="201"/>
      <c r="C458" s="309"/>
      <c r="D458" s="203"/>
      <c r="E458" s="284" t="s">
        <v>20</v>
      </c>
      <c r="F458" s="285"/>
      <c r="G458" s="286">
        <v>3</v>
      </c>
      <c r="H458" s="287"/>
      <c r="I458" s="286">
        <v>3</v>
      </c>
      <c r="J458" s="287"/>
      <c r="K458">
        <v>550</v>
      </c>
      <c r="L458">
        <f t="shared" si="51"/>
        <v>1.65</v>
      </c>
    </row>
    <row r="459" spans="1:12">
      <c r="A459" s="203"/>
      <c r="B459" s="201"/>
      <c r="C459" s="309"/>
      <c r="D459" s="203"/>
      <c r="E459" s="282" t="s">
        <v>94</v>
      </c>
      <c r="F459" s="282"/>
      <c r="G459" s="283">
        <v>0.2</v>
      </c>
      <c r="H459" s="283"/>
      <c r="I459" s="283">
        <v>0.2</v>
      </c>
      <c r="J459" s="283"/>
      <c r="K459">
        <v>17</v>
      </c>
      <c r="L459">
        <f t="shared" si="51"/>
        <v>3.4000000000000002E-3</v>
      </c>
    </row>
    <row r="460" spans="1:12">
      <c r="A460" s="203"/>
      <c r="B460" s="201"/>
      <c r="C460" s="309"/>
      <c r="D460" s="203"/>
      <c r="E460" s="288" t="s">
        <v>74</v>
      </c>
      <c r="F460" s="288"/>
      <c r="G460" s="289" t="s">
        <v>30</v>
      </c>
      <c r="H460" s="289"/>
      <c r="I460" s="290">
        <v>150</v>
      </c>
      <c r="J460" s="290"/>
    </row>
    <row r="461" spans="1:12">
      <c r="A461" s="203"/>
      <c r="B461" s="201"/>
      <c r="C461" s="309"/>
      <c r="D461" s="203"/>
      <c r="E461" s="203"/>
      <c r="F461" s="203"/>
      <c r="G461" s="203"/>
      <c r="H461" s="203"/>
      <c r="I461" s="203"/>
      <c r="J461" s="203"/>
    </row>
    <row r="462" spans="1:12">
      <c r="A462" s="203"/>
      <c r="B462" s="201" t="s">
        <v>95</v>
      </c>
      <c r="C462" s="309">
        <v>200</v>
      </c>
      <c r="D462" s="203"/>
      <c r="E462" s="282" t="s">
        <v>378</v>
      </c>
      <c r="F462" s="282"/>
      <c r="G462" s="295">
        <v>200</v>
      </c>
      <c r="H462" s="295"/>
      <c r="I462" s="295">
        <v>200</v>
      </c>
      <c r="J462" s="295"/>
      <c r="K462">
        <v>34</v>
      </c>
      <c r="L462" s="269">
        <f t="shared" ref="L462" si="52">K462*G462/1000</f>
        <v>6.8</v>
      </c>
    </row>
    <row r="463" spans="1:12">
      <c r="A463" s="203"/>
      <c r="B463" s="201"/>
      <c r="C463" s="309"/>
      <c r="D463" s="203"/>
      <c r="E463" s="203"/>
      <c r="F463" s="203"/>
      <c r="G463" s="203"/>
      <c r="H463" s="203"/>
      <c r="I463" s="203"/>
      <c r="J463" s="203"/>
    </row>
    <row r="464" spans="1:12">
      <c r="A464" s="203"/>
      <c r="B464" s="201" t="s">
        <v>263</v>
      </c>
      <c r="C464" s="309">
        <v>40</v>
      </c>
      <c r="D464" s="203"/>
      <c r="E464" s="282" t="s">
        <v>263</v>
      </c>
      <c r="F464" s="282"/>
      <c r="G464" s="283">
        <v>40</v>
      </c>
      <c r="H464" s="283"/>
      <c r="I464" s="283">
        <v>40</v>
      </c>
      <c r="J464" s="283"/>
      <c r="K464">
        <v>29.72</v>
      </c>
      <c r="L464" s="254">
        <f>K464/1000*G464</f>
        <v>1.1888000000000001</v>
      </c>
    </row>
    <row r="465" spans="1:12">
      <c r="A465" s="203"/>
      <c r="B465" s="201"/>
      <c r="C465" s="309"/>
      <c r="D465" s="203"/>
      <c r="E465" s="203"/>
      <c r="F465" s="203"/>
      <c r="G465" s="203"/>
      <c r="H465" s="203"/>
      <c r="I465" s="203"/>
      <c r="J465" s="203"/>
    </row>
    <row r="466" spans="1:12">
      <c r="A466" s="203" t="s">
        <v>381</v>
      </c>
      <c r="B466" s="201" t="s">
        <v>4</v>
      </c>
      <c r="C466" s="309">
        <v>30</v>
      </c>
      <c r="D466" s="203"/>
      <c r="E466" s="282" t="s">
        <v>4</v>
      </c>
      <c r="F466" s="282"/>
      <c r="G466" s="283">
        <v>30</v>
      </c>
      <c r="H466" s="283"/>
      <c r="I466" s="283">
        <v>30</v>
      </c>
      <c r="J466" s="283"/>
      <c r="K466">
        <v>45.54</v>
      </c>
      <c r="L466" s="254">
        <f>K466/1000*G466</f>
        <v>1.3661999999999999</v>
      </c>
    </row>
    <row r="467" spans="1:12">
      <c r="A467" s="203"/>
      <c r="B467" s="201" t="s">
        <v>268</v>
      </c>
      <c r="C467" s="309">
        <v>60</v>
      </c>
      <c r="D467" s="203"/>
      <c r="E467" s="203"/>
      <c r="F467" s="203"/>
      <c r="G467" s="294" t="s">
        <v>181</v>
      </c>
      <c r="H467" s="294"/>
      <c r="I467" s="294" t="s">
        <v>182</v>
      </c>
      <c r="J467" s="294"/>
      <c r="L467" s="229">
        <f>L468+L469+L470</f>
        <v>3.1055000000000001</v>
      </c>
    </row>
    <row r="468" spans="1:12">
      <c r="A468" s="203"/>
      <c r="B468" s="201"/>
      <c r="C468" s="309"/>
      <c r="D468" s="203"/>
      <c r="E468" s="282" t="s">
        <v>116</v>
      </c>
      <c r="F468" s="282"/>
      <c r="G468" s="283">
        <v>76</v>
      </c>
      <c r="H468" s="283"/>
      <c r="I468" s="283">
        <v>57</v>
      </c>
      <c r="J468" s="283"/>
      <c r="K468">
        <v>35</v>
      </c>
      <c r="L468">
        <f>G468*K468/1000</f>
        <v>2.66</v>
      </c>
    </row>
    <row r="469" spans="1:12">
      <c r="A469" s="203"/>
      <c r="B469" s="201"/>
      <c r="C469" s="309"/>
      <c r="D469" s="203"/>
      <c r="E469" s="282" t="s">
        <v>94</v>
      </c>
      <c r="F469" s="282"/>
      <c r="G469" s="283">
        <v>1.5</v>
      </c>
      <c r="H469" s="283"/>
      <c r="I469" s="283">
        <v>1.5</v>
      </c>
      <c r="J469" s="283"/>
      <c r="K469">
        <v>17</v>
      </c>
      <c r="L469">
        <f t="shared" ref="L469:L470" si="53">G469*K469/1000</f>
        <v>2.5499999999999998E-2</v>
      </c>
    </row>
    <row r="470" spans="1:12">
      <c r="A470" s="203"/>
      <c r="B470" s="201"/>
      <c r="C470" s="309"/>
      <c r="D470" s="203"/>
      <c r="E470" s="282" t="s">
        <v>81</v>
      </c>
      <c r="F470" s="282"/>
      <c r="G470" s="283">
        <v>3</v>
      </c>
      <c r="H470" s="283"/>
      <c r="I470" s="283">
        <v>3</v>
      </c>
      <c r="J470" s="283"/>
      <c r="K470">
        <v>140</v>
      </c>
      <c r="L470">
        <f t="shared" si="53"/>
        <v>0.42</v>
      </c>
    </row>
    <row r="471" spans="1:12">
      <c r="A471" s="203"/>
      <c r="B471" s="201"/>
      <c r="C471" s="309"/>
      <c r="D471" s="203"/>
      <c r="E471" s="288" t="s">
        <v>74</v>
      </c>
      <c r="F471" s="288"/>
      <c r="G471" s="289" t="s">
        <v>30</v>
      </c>
      <c r="H471" s="289"/>
      <c r="I471" s="290">
        <v>60</v>
      </c>
      <c r="J471" s="290"/>
    </row>
    <row r="472" spans="1:12">
      <c r="A472" s="203"/>
      <c r="B472" s="201"/>
      <c r="C472" s="309"/>
      <c r="D472" s="203"/>
      <c r="E472" s="203"/>
      <c r="F472" s="203"/>
      <c r="G472" s="203"/>
      <c r="H472" s="203"/>
      <c r="I472" s="203"/>
      <c r="J472" s="203"/>
    </row>
    <row r="473" spans="1:12" ht="15" customHeight="1">
      <c r="A473" s="203"/>
      <c r="B473" s="208" t="s">
        <v>59</v>
      </c>
      <c r="C473" s="309">
        <v>200</v>
      </c>
      <c r="D473" s="203"/>
      <c r="E473" s="203"/>
      <c r="F473" s="203"/>
      <c r="G473" s="294" t="s">
        <v>181</v>
      </c>
      <c r="H473" s="294"/>
      <c r="I473" s="294" t="s">
        <v>182</v>
      </c>
      <c r="J473" s="294"/>
      <c r="L473" s="269">
        <f>SUM(L474:L485)</f>
        <v>5.5021999999999993</v>
      </c>
    </row>
    <row r="474" spans="1:12" ht="36">
      <c r="A474" s="203"/>
      <c r="B474" s="201"/>
      <c r="C474" s="309"/>
      <c r="D474" s="203"/>
      <c r="E474" s="291" t="s">
        <v>83</v>
      </c>
      <c r="F474" s="291"/>
      <c r="G474" s="293">
        <v>50</v>
      </c>
      <c r="H474" s="309"/>
      <c r="I474" s="293">
        <v>40</v>
      </c>
      <c r="J474" s="309"/>
      <c r="K474">
        <v>45</v>
      </c>
      <c r="L474">
        <f t="shared" ref="L474:L483" si="54">G474*K474/1000</f>
        <v>2.25</v>
      </c>
    </row>
    <row r="475" spans="1:12">
      <c r="A475" s="203"/>
      <c r="B475" s="201"/>
      <c r="C475" s="309"/>
      <c r="D475" s="203"/>
      <c r="E475" s="291" t="s">
        <v>84</v>
      </c>
      <c r="F475" s="291"/>
      <c r="G475" s="293">
        <v>30</v>
      </c>
      <c r="H475" s="309"/>
      <c r="I475" s="293">
        <v>24</v>
      </c>
      <c r="J475" s="309"/>
      <c r="K475">
        <v>27</v>
      </c>
      <c r="L475">
        <f t="shared" si="54"/>
        <v>0.81</v>
      </c>
    </row>
    <row r="476" spans="1:12" ht="15" customHeight="1">
      <c r="A476" s="203"/>
      <c r="B476" s="201"/>
      <c r="C476" s="309"/>
      <c r="D476" s="203"/>
      <c r="E476" s="291" t="s">
        <v>85</v>
      </c>
      <c r="F476" s="291"/>
      <c r="G476" s="293">
        <v>10</v>
      </c>
      <c r="H476" s="309"/>
      <c r="I476" s="293">
        <v>8</v>
      </c>
      <c r="J476" s="309"/>
      <c r="K476">
        <v>30</v>
      </c>
      <c r="L476">
        <f t="shared" si="54"/>
        <v>0.3</v>
      </c>
    </row>
    <row r="477" spans="1:12" ht="15" customHeight="1">
      <c r="A477" s="203"/>
      <c r="B477" s="201"/>
      <c r="C477" s="309"/>
      <c r="D477" s="203"/>
      <c r="E477" s="291" t="s">
        <v>86</v>
      </c>
      <c r="F477" s="291"/>
      <c r="G477" s="293">
        <v>9.5</v>
      </c>
      <c r="H477" s="309"/>
      <c r="I477" s="293">
        <v>8</v>
      </c>
      <c r="J477" s="309"/>
      <c r="K477">
        <v>20</v>
      </c>
      <c r="L477">
        <f t="shared" si="54"/>
        <v>0.19</v>
      </c>
    </row>
    <row r="478" spans="1:12" ht="15" customHeight="1">
      <c r="A478" s="203"/>
      <c r="B478" s="201"/>
      <c r="C478" s="309"/>
      <c r="D478" s="203"/>
      <c r="E478" s="291" t="s">
        <v>81</v>
      </c>
      <c r="F478" s="291"/>
      <c r="G478" s="293">
        <v>4</v>
      </c>
      <c r="H478" s="309"/>
      <c r="I478" s="293">
        <v>4</v>
      </c>
      <c r="J478" s="309"/>
      <c r="K478">
        <v>140</v>
      </c>
      <c r="L478">
        <f t="shared" si="54"/>
        <v>0.56000000000000005</v>
      </c>
    </row>
    <row r="479" spans="1:12" ht="24">
      <c r="A479" s="203"/>
      <c r="B479" s="201"/>
      <c r="C479" s="309"/>
      <c r="D479" s="203"/>
      <c r="E479" s="291" t="s">
        <v>336</v>
      </c>
      <c r="F479" s="291"/>
      <c r="G479" s="293">
        <v>4</v>
      </c>
      <c r="H479" s="309"/>
      <c r="I479" s="293">
        <v>4</v>
      </c>
      <c r="J479" s="309"/>
      <c r="L479">
        <f t="shared" si="54"/>
        <v>0</v>
      </c>
    </row>
    <row r="480" spans="1:12" ht="15" customHeight="1">
      <c r="A480" s="203"/>
      <c r="B480" s="201"/>
      <c r="C480" s="309"/>
      <c r="D480" s="203"/>
      <c r="E480" s="291" t="s">
        <v>27</v>
      </c>
      <c r="F480" s="291"/>
      <c r="G480" s="293">
        <v>160</v>
      </c>
      <c r="H480" s="309"/>
      <c r="I480" s="293">
        <v>160</v>
      </c>
      <c r="J480" s="309"/>
      <c r="L480">
        <f t="shared" si="54"/>
        <v>0</v>
      </c>
    </row>
    <row r="481" spans="1:12" ht="15" customHeight="1">
      <c r="A481" s="203"/>
      <c r="B481" s="201"/>
      <c r="C481" s="309"/>
      <c r="D481" s="203"/>
      <c r="E481" s="291" t="s">
        <v>89</v>
      </c>
      <c r="F481" s="291"/>
      <c r="G481" s="293">
        <v>160</v>
      </c>
      <c r="H481" s="309"/>
      <c r="I481" s="293">
        <v>160</v>
      </c>
      <c r="J481" s="309"/>
      <c r="L481">
        <f t="shared" si="54"/>
        <v>0</v>
      </c>
    </row>
    <row r="482" spans="1:12" ht="36">
      <c r="A482" s="203"/>
      <c r="B482" s="201"/>
      <c r="C482" s="309"/>
      <c r="D482" s="203"/>
      <c r="E482" s="291" t="s">
        <v>173</v>
      </c>
      <c r="F482" s="291"/>
      <c r="G482" s="293">
        <v>160</v>
      </c>
      <c r="H482" s="309"/>
      <c r="I482" s="293">
        <v>160</v>
      </c>
      <c r="J482" s="309"/>
      <c r="L482">
        <f t="shared" si="54"/>
        <v>0</v>
      </c>
    </row>
    <row r="483" spans="1:12" ht="15" customHeight="1">
      <c r="A483" s="203"/>
      <c r="B483" s="201"/>
      <c r="C483" s="309"/>
      <c r="D483" s="203"/>
      <c r="E483" s="291" t="s">
        <v>109</v>
      </c>
      <c r="F483" s="291"/>
      <c r="G483" s="293">
        <v>8</v>
      </c>
      <c r="H483" s="309"/>
      <c r="I483" s="293">
        <v>8</v>
      </c>
      <c r="J483" s="309"/>
      <c r="K483">
        <v>173.6</v>
      </c>
      <c r="L483">
        <f t="shared" si="54"/>
        <v>1.3888</v>
      </c>
    </row>
    <row r="484" spans="1:12" ht="15" customHeight="1">
      <c r="A484" s="203"/>
      <c r="B484" s="201"/>
      <c r="C484" s="309"/>
      <c r="D484" s="203"/>
      <c r="E484" s="291" t="s">
        <v>337</v>
      </c>
      <c r="F484" s="291"/>
      <c r="G484" s="293" t="s">
        <v>30</v>
      </c>
      <c r="H484" s="309"/>
      <c r="I484" s="293" t="s">
        <v>30</v>
      </c>
      <c r="J484" s="309"/>
    </row>
    <row r="485" spans="1:12" ht="48">
      <c r="A485" s="203"/>
      <c r="B485" s="201"/>
      <c r="C485" s="309"/>
      <c r="D485" s="203"/>
      <c r="E485" s="291" t="s">
        <v>29</v>
      </c>
      <c r="F485" s="291"/>
      <c r="G485" s="293">
        <v>0.2</v>
      </c>
      <c r="H485" s="309"/>
      <c r="I485" s="293">
        <v>0.2</v>
      </c>
      <c r="J485" s="309"/>
      <c r="K485">
        <v>17</v>
      </c>
      <c r="L485">
        <f t="shared" ref="L485" si="55">G485*K485/1000</f>
        <v>3.4000000000000002E-3</v>
      </c>
    </row>
    <row r="486" spans="1:12">
      <c r="A486" s="203"/>
      <c r="B486" s="201"/>
      <c r="C486" s="309"/>
      <c r="D486" s="203"/>
      <c r="E486" s="292" t="s">
        <v>21</v>
      </c>
      <c r="F486" s="292"/>
      <c r="G486" s="293">
        <v>200</v>
      </c>
      <c r="H486" s="293"/>
      <c r="I486" s="309"/>
      <c r="J486" s="309"/>
    </row>
    <row r="487" spans="1:12">
      <c r="A487" s="203"/>
      <c r="B487" s="201"/>
      <c r="C487" s="309"/>
      <c r="D487" s="203"/>
      <c r="E487" s="203"/>
      <c r="F487" s="203"/>
      <c r="G487" s="203"/>
      <c r="H487" s="203"/>
      <c r="I487" s="203"/>
      <c r="J487" s="203"/>
    </row>
    <row r="488" spans="1:12">
      <c r="A488" s="203"/>
      <c r="B488" s="201" t="s">
        <v>70</v>
      </c>
      <c r="C488" s="309">
        <v>90</v>
      </c>
      <c r="D488" s="203"/>
      <c r="E488" s="203"/>
      <c r="F488" s="203"/>
      <c r="G488" s="203"/>
      <c r="H488" s="203"/>
      <c r="I488" s="203"/>
      <c r="J488" s="203"/>
      <c r="L488" s="269">
        <f>SUM(L489:L494)</f>
        <v>21.394099999999998</v>
      </c>
    </row>
    <row r="489" spans="1:12">
      <c r="A489" s="203"/>
      <c r="B489" s="201"/>
      <c r="C489" s="309"/>
      <c r="D489" s="203"/>
      <c r="E489" s="276" t="s">
        <v>108</v>
      </c>
      <c r="F489" s="277"/>
      <c r="G489" s="278">
        <v>120</v>
      </c>
      <c r="H489" s="234"/>
      <c r="I489" s="278">
        <v>102</v>
      </c>
      <c r="J489" s="234"/>
      <c r="K489">
        <v>149.1</v>
      </c>
      <c r="L489">
        <f t="shared" ref="L489:L494" si="56">G489*K489/1000</f>
        <v>17.891999999999999</v>
      </c>
    </row>
    <row r="490" spans="1:12">
      <c r="A490" s="203"/>
      <c r="B490" s="201"/>
      <c r="C490" s="309"/>
      <c r="D490" s="203"/>
      <c r="E490" s="279" t="s">
        <v>109</v>
      </c>
      <c r="F490" s="211"/>
      <c r="G490" s="280">
        <v>10</v>
      </c>
      <c r="H490" s="236"/>
      <c r="I490" s="280">
        <v>10</v>
      </c>
      <c r="J490" s="236"/>
      <c r="K490">
        <v>173.6</v>
      </c>
      <c r="L490">
        <f t="shared" si="56"/>
        <v>1.736</v>
      </c>
    </row>
    <row r="491" spans="1:12">
      <c r="A491" s="203"/>
      <c r="B491" s="201"/>
      <c r="C491" s="309"/>
      <c r="D491" s="203"/>
      <c r="E491" s="279" t="s">
        <v>110</v>
      </c>
      <c r="F491" s="211"/>
      <c r="G491" s="280">
        <v>10</v>
      </c>
      <c r="H491" s="236"/>
      <c r="I491" s="280">
        <v>10</v>
      </c>
      <c r="J491" s="236"/>
      <c r="L491">
        <f t="shared" si="56"/>
        <v>0</v>
      </c>
    </row>
    <row r="492" spans="1:12">
      <c r="A492" s="203"/>
      <c r="B492" s="201"/>
      <c r="C492" s="309"/>
      <c r="D492" s="203"/>
      <c r="E492" s="279" t="s">
        <v>111</v>
      </c>
      <c r="F492" s="211"/>
      <c r="G492" s="280">
        <v>3</v>
      </c>
      <c r="H492" s="236"/>
      <c r="I492" s="280">
        <v>3</v>
      </c>
      <c r="J492" s="236"/>
      <c r="K492">
        <v>37</v>
      </c>
      <c r="L492">
        <f t="shared" si="56"/>
        <v>0.111</v>
      </c>
    </row>
    <row r="493" spans="1:12">
      <c r="A493" s="203"/>
      <c r="B493" s="201"/>
      <c r="C493" s="309"/>
      <c r="D493" s="203"/>
      <c r="E493" s="279" t="s">
        <v>20</v>
      </c>
      <c r="F493" s="211"/>
      <c r="G493" s="280">
        <v>3</v>
      </c>
      <c r="H493" s="236"/>
      <c r="I493" s="280">
        <v>3</v>
      </c>
      <c r="J493" s="236"/>
      <c r="K493">
        <v>550</v>
      </c>
      <c r="L493">
        <f t="shared" si="56"/>
        <v>1.65</v>
      </c>
    </row>
    <row r="494" spans="1:12">
      <c r="A494" s="203"/>
      <c r="B494" s="201"/>
      <c r="C494" s="309"/>
      <c r="D494" s="203"/>
      <c r="E494" s="219" t="s">
        <v>94</v>
      </c>
      <c r="F494" s="220"/>
      <c r="G494" s="281">
        <v>0.3</v>
      </c>
      <c r="H494" s="238"/>
      <c r="I494" s="281">
        <v>0.3</v>
      </c>
      <c r="J494" s="238"/>
      <c r="K494">
        <v>17</v>
      </c>
      <c r="L494">
        <f t="shared" si="56"/>
        <v>5.0999999999999995E-3</v>
      </c>
    </row>
    <row r="495" spans="1:12">
      <c r="A495" s="203"/>
      <c r="B495" s="201"/>
      <c r="C495" s="309"/>
      <c r="D495" s="203"/>
      <c r="E495" s="221" t="s">
        <v>74</v>
      </c>
      <c r="F495" s="222"/>
      <c r="G495" s="221" t="s">
        <v>30</v>
      </c>
      <c r="H495" s="223"/>
      <c r="I495" s="221">
        <v>90</v>
      </c>
      <c r="J495" s="223"/>
    </row>
    <row r="496" spans="1:12">
      <c r="A496" s="203"/>
      <c r="B496" s="201"/>
      <c r="C496" s="309"/>
      <c r="D496" s="203"/>
      <c r="E496" s="203"/>
      <c r="F496" s="203"/>
      <c r="G496" s="203"/>
      <c r="H496" s="203"/>
      <c r="I496" s="203"/>
      <c r="J496" s="203"/>
    </row>
    <row r="497" spans="1:12">
      <c r="A497" s="203"/>
      <c r="B497" s="201" t="s">
        <v>329</v>
      </c>
      <c r="C497" s="309">
        <v>150</v>
      </c>
      <c r="D497" s="203"/>
      <c r="E497" s="203"/>
      <c r="F497" s="203"/>
      <c r="G497" s="294" t="s">
        <v>181</v>
      </c>
      <c r="H497" s="294"/>
      <c r="I497" s="294" t="s">
        <v>182</v>
      </c>
      <c r="J497" s="294"/>
      <c r="L497" s="229">
        <f>SUM(L498:L501)</f>
        <v>7.4011799999999992</v>
      </c>
    </row>
    <row r="498" spans="1:12">
      <c r="A498" s="203"/>
      <c r="B498" s="201"/>
      <c r="C498" s="309"/>
      <c r="D498" s="203"/>
      <c r="E498" s="282" t="s">
        <v>330</v>
      </c>
      <c r="F498" s="282"/>
      <c r="G498" s="283">
        <f>170*I502/150</f>
        <v>170</v>
      </c>
      <c r="H498" s="283"/>
      <c r="I498" s="283">
        <f>128*I502/150</f>
        <v>128</v>
      </c>
      <c r="J498" s="283"/>
      <c r="K498">
        <v>27</v>
      </c>
      <c r="L498">
        <f>G498*K498/1000</f>
        <v>4.59</v>
      </c>
    </row>
    <row r="499" spans="1:12">
      <c r="A499" s="203"/>
      <c r="B499" s="201"/>
      <c r="C499" s="309"/>
      <c r="D499" s="203"/>
      <c r="E499" s="284" t="s">
        <v>26</v>
      </c>
      <c r="F499" s="285"/>
      <c r="G499" s="286">
        <f>24*I502/150</f>
        <v>24</v>
      </c>
      <c r="H499" s="287"/>
      <c r="I499" s="286">
        <f>24*I502/150</f>
        <v>24</v>
      </c>
      <c r="J499" s="287"/>
      <c r="K499">
        <v>48.17</v>
      </c>
      <c r="L499">
        <f t="shared" ref="L499:L501" si="57">G499*K499/1000</f>
        <v>1.15608</v>
      </c>
    </row>
    <row r="500" spans="1:12">
      <c r="A500" s="203"/>
      <c r="B500" s="201"/>
      <c r="C500" s="309"/>
      <c r="D500" s="203"/>
      <c r="E500" s="284" t="s">
        <v>20</v>
      </c>
      <c r="F500" s="285"/>
      <c r="G500" s="286">
        <f>3*I502/150</f>
        <v>3</v>
      </c>
      <c r="H500" s="287"/>
      <c r="I500" s="286">
        <f>3*I502/150</f>
        <v>3</v>
      </c>
      <c r="J500" s="287"/>
      <c r="K500">
        <v>550</v>
      </c>
      <c r="L500">
        <f t="shared" si="57"/>
        <v>1.65</v>
      </c>
    </row>
    <row r="501" spans="1:12">
      <c r="A501" s="203"/>
      <c r="B501" s="201"/>
      <c r="C501" s="309"/>
      <c r="D501" s="203"/>
      <c r="E501" s="282" t="s">
        <v>94</v>
      </c>
      <c r="F501" s="282"/>
      <c r="G501" s="283">
        <f>0.3*I502/150</f>
        <v>0.3</v>
      </c>
      <c r="H501" s="283"/>
      <c r="I501" s="283">
        <f>0.3*I502/150</f>
        <v>0.3</v>
      </c>
      <c r="J501" s="283"/>
      <c r="K501">
        <v>17</v>
      </c>
      <c r="L501">
        <f t="shared" si="57"/>
        <v>5.0999999999999995E-3</v>
      </c>
    </row>
    <row r="502" spans="1:12">
      <c r="A502" s="203"/>
      <c r="B502" s="201"/>
      <c r="C502" s="309"/>
      <c r="D502" s="203"/>
      <c r="E502" s="288" t="s">
        <v>74</v>
      </c>
      <c r="F502" s="288"/>
      <c r="G502" s="289" t="s">
        <v>30</v>
      </c>
      <c r="H502" s="289"/>
      <c r="I502" s="290">
        <v>150</v>
      </c>
      <c r="J502" s="290"/>
    </row>
    <row r="503" spans="1:12">
      <c r="A503" s="203"/>
      <c r="B503" s="201"/>
      <c r="C503" s="309"/>
      <c r="D503" s="203"/>
      <c r="E503" s="203"/>
      <c r="F503" s="203"/>
      <c r="G503" s="203"/>
      <c r="H503" s="203"/>
      <c r="I503" s="203"/>
      <c r="J503" s="203"/>
    </row>
    <row r="504" spans="1:12">
      <c r="A504" s="203"/>
      <c r="B504" s="201" t="s">
        <v>380</v>
      </c>
      <c r="C504" s="309">
        <v>200</v>
      </c>
      <c r="D504" s="203"/>
      <c r="E504" s="203"/>
      <c r="F504" s="203"/>
      <c r="G504" s="203"/>
      <c r="H504" s="203"/>
      <c r="I504" s="203"/>
      <c r="J504" s="203"/>
      <c r="L504" s="269">
        <f>SUM(L505:L506)</f>
        <v>1.125</v>
      </c>
    </row>
    <row r="505" spans="1:12">
      <c r="A505" s="203"/>
      <c r="B505" s="201"/>
      <c r="C505" s="309"/>
      <c r="D505" s="203"/>
      <c r="E505" s="282" t="s">
        <v>157</v>
      </c>
      <c r="F505" s="282"/>
      <c r="G505" s="283">
        <v>0.6</v>
      </c>
      <c r="H505" s="283"/>
      <c r="I505" s="283">
        <v>0.6</v>
      </c>
      <c r="J505" s="283"/>
      <c r="K505">
        <v>500</v>
      </c>
      <c r="L505">
        <f t="shared" ref="L505:L506" si="58">G505*K505/1000</f>
        <v>0.3</v>
      </c>
    </row>
    <row r="506" spans="1:12">
      <c r="A506" s="203"/>
      <c r="B506" s="201"/>
      <c r="C506" s="309"/>
      <c r="D506" s="203"/>
      <c r="E506" s="284" t="s">
        <v>103</v>
      </c>
      <c r="F506" s="285"/>
      <c r="G506" s="286">
        <v>15</v>
      </c>
      <c r="H506" s="287"/>
      <c r="I506" s="286">
        <v>15</v>
      </c>
      <c r="J506" s="287"/>
      <c r="K506">
        <v>55</v>
      </c>
      <c r="L506">
        <f t="shared" si="58"/>
        <v>0.82499999999999996</v>
      </c>
    </row>
    <row r="507" spans="1:12">
      <c r="A507" s="203"/>
      <c r="B507" s="201"/>
      <c r="C507" s="309"/>
      <c r="D507" s="203"/>
      <c r="E507" s="288" t="s">
        <v>74</v>
      </c>
      <c r="F507" s="288"/>
      <c r="G507" s="289" t="s">
        <v>30</v>
      </c>
      <c r="H507" s="289"/>
      <c r="I507" s="290">
        <v>200</v>
      </c>
      <c r="J507" s="290"/>
    </row>
    <row r="508" spans="1:12">
      <c r="A508" s="203"/>
      <c r="B508" s="201"/>
      <c r="C508" s="309"/>
      <c r="D508" s="203"/>
      <c r="E508" s="203"/>
      <c r="F508" s="203"/>
      <c r="G508" s="203"/>
      <c r="H508" s="203"/>
      <c r="I508" s="203"/>
      <c r="J508" s="203"/>
    </row>
    <row r="509" spans="1:12">
      <c r="A509" s="203"/>
      <c r="B509" s="201" t="s">
        <v>263</v>
      </c>
      <c r="C509" s="309">
        <v>40</v>
      </c>
      <c r="D509" s="203"/>
      <c r="E509" s="282" t="s">
        <v>263</v>
      </c>
      <c r="F509" s="282"/>
      <c r="G509" s="283">
        <v>40</v>
      </c>
      <c r="H509" s="283"/>
      <c r="I509" s="283">
        <v>40</v>
      </c>
      <c r="J509" s="283"/>
      <c r="K509">
        <v>29.72</v>
      </c>
      <c r="L509" s="254">
        <f>K509/1000*G509</f>
        <v>1.1888000000000001</v>
      </c>
    </row>
    <row r="510" spans="1:12">
      <c r="A510" s="203"/>
      <c r="B510" s="201"/>
      <c r="C510" s="309"/>
      <c r="D510" s="203"/>
      <c r="E510" s="203"/>
      <c r="F510" s="203"/>
      <c r="G510" s="203"/>
      <c r="H510" s="203"/>
      <c r="I510" s="203"/>
      <c r="J510" s="203"/>
    </row>
    <row r="511" spans="1:12">
      <c r="A511" s="203"/>
      <c r="B511" s="201" t="s">
        <v>4</v>
      </c>
      <c r="C511" s="309">
        <v>30</v>
      </c>
      <c r="D511" s="203"/>
      <c r="E511" s="282" t="s">
        <v>4</v>
      </c>
      <c r="F511" s="282"/>
      <c r="G511" s="283">
        <v>30</v>
      </c>
      <c r="H511" s="283"/>
      <c r="I511" s="283">
        <v>30</v>
      </c>
      <c r="J511" s="283"/>
      <c r="K511">
        <v>45.54</v>
      </c>
      <c r="L511" s="254">
        <f>K511/1000*G511</f>
        <v>1.3661999999999999</v>
      </c>
    </row>
  </sheetData>
  <mergeCells count="275">
    <mergeCell ref="G170:H170"/>
    <mergeCell ref="I170:J170"/>
    <mergeCell ref="D170:F170"/>
    <mergeCell ref="G168:H168"/>
    <mergeCell ref="I168:J168"/>
    <mergeCell ref="G164:H164"/>
    <mergeCell ref="I164:J164"/>
    <mergeCell ref="G165:H165"/>
    <mergeCell ref="I165:J165"/>
    <mergeCell ref="D164:F164"/>
    <mergeCell ref="D165:F165"/>
    <mergeCell ref="D166:F166"/>
    <mergeCell ref="D168:F168"/>
    <mergeCell ref="G162:H162"/>
    <mergeCell ref="I162:J162"/>
    <mergeCell ref="G163:H163"/>
    <mergeCell ref="I163:J163"/>
    <mergeCell ref="G160:H160"/>
    <mergeCell ref="I160:J160"/>
    <mergeCell ref="D160:F160"/>
    <mergeCell ref="D163:F163"/>
    <mergeCell ref="G166:H166"/>
    <mergeCell ref="I166:J166"/>
    <mergeCell ref="G133:H133"/>
    <mergeCell ref="G137:H137"/>
    <mergeCell ref="I137:J137"/>
    <mergeCell ref="G135:H135"/>
    <mergeCell ref="I135:J135"/>
    <mergeCell ref="D136:F136"/>
    <mergeCell ref="G136:H136"/>
    <mergeCell ref="I136:J136"/>
    <mergeCell ref="D137:F137"/>
    <mergeCell ref="G124:H124"/>
    <mergeCell ref="I124:J124"/>
    <mergeCell ref="G125:H125"/>
    <mergeCell ref="G122:H122"/>
    <mergeCell ref="I122:J122"/>
    <mergeCell ref="G123:H123"/>
    <mergeCell ref="I123:J123"/>
    <mergeCell ref="D122:F122"/>
    <mergeCell ref="D123:F123"/>
    <mergeCell ref="D124:F124"/>
    <mergeCell ref="D125:F125"/>
    <mergeCell ref="I125:J125"/>
    <mergeCell ref="G120:H120"/>
    <mergeCell ref="I120:J120"/>
    <mergeCell ref="G121:H121"/>
    <mergeCell ref="I121:J121"/>
    <mergeCell ref="E115:F115"/>
    <mergeCell ref="G115:H115"/>
    <mergeCell ref="I115:J115"/>
    <mergeCell ref="E117:F117"/>
    <mergeCell ref="G117:H117"/>
    <mergeCell ref="I117:J117"/>
    <mergeCell ref="D121:F121"/>
    <mergeCell ref="E112:F112"/>
    <mergeCell ref="G112:H112"/>
    <mergeCell ref="I112:J112"/>
    <mergeCell ref="E113:F113"/>
    <mergeCell ref="G113:H113"/>
    <mergeCell ref="I113:J113"/>
    <mergeCell ref="E110:F110"/>
    <mergeCell ref="G110:H110"/>
    <mergeCell ref="I110:J110"/>
    <mergeCell ref="E111:F111"/>
    <mergeCell ref="G111:H111"/>
    <mergeCell ref="I111:J111"/>
    <mergeCell ref="E107:F107"/>
    <mergeCell ref="G107:H107"/>
    <mergeCell ref="I107:J107"/>
    <mergeCell ref="G109:H109"/>
    <mergeCell ref="I109:J109"/>
    <mergeCell ref="E105:F105"/>
    <mergeCell ref="G105:H105"/>
    <mergeCell ref="I105:J105"/>
    <mergeCell ref="E106:F106"/>
    <mergeCell ref="G106:H106"/>
    <mergeCell ref="I106:J106"/>
    <mergeCell ref="E103:F103"/>
    <mergeCell ref="G103:H103"/>
    <mergeCell ref="I103:J103"/>
    <mergeCell ref="E104:F104"/>
    <mergeCell ref="G104:H104"/>
    <mergeCell ref="I104:J104"/>
    <mergeCell ref="E98:F98"/>
    <mergeCell ref="E99:F99"/>
    <mergeCell ref="E100:F100"/>
    <mergeCell ref="G102:H102"/>
    <mergeCell ref="I102:J102"/>
    <mergeCell ref="E93:F93"/>
    <mergeCell ref="E94:F94"/>
    <mergeCell ref="E95:F95"/>
    <mergeCell ref="E96:F96"/>
    <mergeCell ref="E97:F97"/>
    <mergeCell ref="E88:F88"/>
    <mergeCell ref="E89:F89"/>
    <mergeCell ref="E90:F90"/>
    <mergeCell ref="G92:H92"/>
    <mergeCell ref="I92:J92"/>
    <mergeCell ref="E83:F83"/>
    <mergeCell ref="E84:F84"/>
    <mergeCell ref="E85:F85"/>
    <mergeCell ref="E86:F86"/>
    <mergeCell ref="E87:F87"/>
    <mergeCell ref="E78:F78"/>
    <mergeCell ref="E79:F79"/>
    <mergeCell ref="E80:F80"/>
    <mergeCell ref="E81:F81"/>
    <mergeCell ref="E82:F82"/>
    <mergeCell ref="E71:F71"/>
    <mergeCell ref="E72:F72"/>
    <mergeCell ref="G72:H72"/>
    <mergeCell ref="I72:J72"/>
    <mergeCell ref="E77:F77"/>
    <mergeCell ref="E66:F66"/>
    <mergeCell ref="G66:H66"/>
    <mergeCell ref="I66:J66"/>
    <mergeCell ref="E69:F69"/>
    <mergeCell ref="E70:F70"/>
    <mergeCell ref="E52:F52"/>
    <mergeCell ref="G52:H52"/>
    <mergeCell ref="I52:J52"/>
    <mergeCell ref="G54:H54"/>
    <mergeCell ref="I54:J54"/>
    <mergeCell ref="E55:F55"/>
    <mergeCell ref="G46:H46"/>
    <mergeCell ref="I46:J46"/>
    <mergeCell ref="G55:H55"/>
    <mergeCell ref="I55:J55"/>
    <mergeCell ref="E46:F46"/>
    <mergeCell ref="E49:F49"/>
    <mergeCell ref="G49:H49"/>
    <mergeCell ref="I49:J49"/>
    <mergeCell ref="E50:F50"/>
    <mergeCell ref="G50:H50"/>
    <mergeCell ref="I50:J50"/>
    <mergeCell ref="E51:F51"/>
    <mergeCell ref="G51:H51"/>
    <mergeCell ref="I51:J51"/>
    <mergeCell ref="I9:J9"/>
    <mergeCell ref="E10:F10"/>
    <mergeCell ref="G10:H10"/>
    <mergeCell ref="I10:J10"/>
    <mergeCell ref="E11:F11"/>
    <mergeCell ref="G11:H11"/>
    <mergeCell ref="E9:F9"/>
    <mergeCell ref="G9:H9"/>
    <mergeCell ref="G19:H19"/>
    <mergeCell ref="G12:H12"/>
    <mergeCell ref="I12:J12"/>
    <mergeCell ref="E14:F14"/>
    <mergeCell ref="G14:H14"/>
    <mergeCell ref="I14:J14"/>
    <mergeCell ref="E15:F15"/>
    <mergeCell ref="G15:H15"/>
    <mergeCell ref="I15:J15"/>
    <mergeCell ref="E16:F16"/>
    <mergeCell ref="G16:H16"/>
    <mergeCell ref="I16:J16"/>
    <mergeCell ref="E17:F17"/>
    <mergeCell ref="G17:H17"/>
    <mergeCell ref="I17:J17"/>
    <mergeCell ref="E18:F18"/>
    <mergeCell ref="I6:J6"/>
    <mergeCell ref="E7:F7"/>
    <mergeCell ref="G7:H7"/>
    <mergeCell ref="I7:J7"/>
    <mergeCell ref="E8:F8"/>
    <mergeCell ref="G8:H8"/>
    <mergeCell ref="I8:J8"/>
    <mergeCell ref="A1:F1"/>
    <mergeCell ref="E3:F3"/>
    <mergeCell ref="G6:H6"/>
    <mergeCell ref="B2:B4"/>
    <mergeCell ref="C2:C4"/>
    <mergeCell ref="D2:D4"/>
    <mergeCell ref="E2:F2"/>
    <mergeCell ref="G18:H18"/>
    <mergeCell ref="I18:J18"/>
    <mergeCell ref="E19:F19"/>
    <mergeCell ref="I19:J19"/>
    <mergeCell ref="G40:J40"/>
    <mergeCell ref="E47:F47"/>
    <mergeCell ref="G47:H47"/>
    <mergeCell ref="I47:J47"/>
    <mergeCell ref="E48:F48"/>
    <mergeCell ref="G48:H48"/>
    <mergeCell ref="I48:J48"/>
    <mergeCell ref="G23:H23"/>
    <mergeCell ref="I23:J23"/>
    <mergeCell ref="G44:H44"/>
    <mergeCell ref="I44:J44"/>
    <mergeCell ref="E45:F45"/>
    <mergeCell ref="G45:H45"/>
    <mergeCell ref="I45:J45"/>
    <mergeCell ref="G42:H42"/>
    <mergeCell ref="I42:J42"/>
    <mergeCell ref="E43:F43"/>
    <mergeCell ref="G43:H43"/>
    <mergeCell ref="I43:J43"/>
    <mergeCell ref="E44:F44"/>
    <mergeCell ref="G56:H56"/>
    <mergeCell ref="I56:J56"/>
    <mergeCell ref="E57:F57"/>
    <mergeCell ref="G57:H57"/>
    <mergeCell ref="I57:J57"/>
    <mergeCell ref="E58:F58"/>
    <mergeCell ref="G58:H58"/>
    <mergeCell ref="I58:J58"/>
    <mergeCell ref="D138:F138"/>
    <mergeCell ref="G138:H138"/>
    <mergeCell ref="I138:J138"/>
    <mergeCell ref="E59:F59"/>
    <mergeCell ref="G59:H59"/>
    <mergeCell ref="I59:J59"/>
    <mergeCell ref="E56:F56"/>
    <mergeCell ref="E64:F64"/>
    <mergeCell ref="G64:H64"/>
    <mergeCell ref="I64:J64"/>
    <mergeCell ref="E61:F61"/>
    <mergeCell ref="G61:H61"/>
    <mergeCell ref="I61:J61"/>
    <mergeCell ref="E63:F63"/>
    <mergeCell ref="G63:H63"/>
    <mergeCell ref="I63:J63"/>
    <mergeCell ref="D139:F139"/>
    <mergeCell ref="G139:H139"/>
    <mergeCell ref="I139:J139"/>
    <mergeCell ref="D140:F140"/>
    <mergeCell ref="G140:H140"/>
    <mergeCell ref="I140:J140"/>
    <mergeCell ref="D141:F141"/>
    <mergeCell ref="G141:H141"/>
    <mergeCell ref="I141:J141"/>
    <mergeCell ref="D142:F142"/>
    <mergeCell ref="G142:J142"/>
    <mergeCell ref="G144:H144"/>
    <mergeCell ref="I144:J144"/>
    <mergeCell ref="D145:F145"/>
    <mergeCell ref="G145:H145"/>
    <mergeCell ref="D146:F146"/>
    <mergeCell ref="G146:H146"/>
    <mergeCell ref="I146:J146"/>
    <mergeCell ref="D147:F147"/>
    <mergeCell ref="G147:H147"/>
    <mergeCell ref="I147:J147"/>
    <mergeCell ref="D148:F148"/>
    <mergeCell ref="G148:H148"/>
    <mergeCell ref="I148:J148"/>
    <mergeCell ref="D149:F149"/>
    <mergeCell ref="G149:H149"/>
    <mergeCell ref="I149:J149"/>
    <mergeCell ref="D150:F150"/>
    <mergeCell ref="G150:H150"/>
    <mergeCell ref="I150:J150"/>
    <mergeCell ref="D151:F151"/>
    <mergeCell ref="G151:H151"/>
    <mergeCell ref="I151:J151"/>
    <mergeCell ref="D152:F152"/>
    <mergeCell ref="G152:J152"/>
    <mergeCell ref="G153:H153"/>
    <mergeCell ref="I153:J153"/>
    <mergeCell ref="G154:H154"/>
    <mergeCell ref="I154:J154"/>
    <mergeCell ref="D157:F157"/>
    <mergeCell ref="D158:F158"/>
    <mergeCell ref="D159:F159"/>
    <mergeCell ref="G158:H158"/>
    <mergeCell ref="I158:J158"/>
    <mergeCell ref="G159:H159"/>
    <mergeCell ref="I159:J159"/>
    <mergeCell ref="G156:H156"/>
    <mergeCell ref="I156:J156"/>
    <mergeCell ref="G157:H157"/>
    <mergeCell ref="I157:J157"/>
  </mergeCells>
  <pageMargins left="0.23622047244094491" right="0.23622047244094491" top="0.74803149606299213" bottom="0.74803149606299213" header="0.31496062992125984" footer="0.31496062992125984"/>
  <pageSetup paperSize="9" scale="70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508"/>
  <sheetViews>
    <sheetView zoomScale="80" zoomScaleNormal="80" workbookViewId="0">
      <pane xSplit="3" ySplit="5" topLeftCell="D79" activePane="bottomRight" state="frozen"/>
      <selection pane="topRight" activeCell="D1" sqref="D1"/>
      <selection pane="bottomLeft" activeCell="A5" sqref="A5"/>
      <selection pane="bottomRight" activeCell="O96" sqref="O96"/>
    </sheetView>
  </sheetViews>
  <sheetFormatPr defaultRowHeight="15"/>
  <cols>
    <col min="1" max="1" width="8.5703125" style="42" customWidth="1"/>
    <col min="2" max="2" width="32" style="42" customWidth="1"/>
    <col min="3" max="5" width="9.140625" style="42"/>
  </cols>
  <sheetData>
    <row r="1" spans="1:12">
      <c r="A1" s="544" t="s">
        <v>253</v>
      </c>
      <c r="B1" s="545"/>
      <c r="C1" s="545"/>
      <c r="D1" s="545"/>
      <c r="E1" s="545"/>
    </row>
    <row r="2" spans="1:12" ht="15" customHeight="1">
      <c r="A2" s="116" t="e">
        <f>(#REF!+#REF!+#REF!+#REF!+#REF!+#REF!+#REF!+#REF!+#REF!+#REF!)/10</f>
        <v>#REF!</v>
      </c>
      <c r="B2" s="479" t="s">
        <v>31</v>
      </c>
      <c r="C2" s="532" t="s">
        <v>23</v>
      </c>
      <c r="D2" s="409"/>
      <c r="E2" s="5"/>
    </row>
    <row r="3" spans="1:12" ht="27" customHeight="1">
      <c r="A3" s="43" t="s">
        <v>82</v>
      </c>
      <c r="B3" s="479"/>
      <c r="C3" s="532"/>
      <c r="D3" s="409"/>
      <c r="E3" s="5"/>
    </row>
    <row r="4" spans="1:12">
      <c r="A4" s="5" t="s">
        <v>75</v>
      </c>
      <c r="B4" s="479"/>
      <c r="C4" s="532"/>
      <c r="D4" s="16" t="s">
        <v>19</v>
      </c>
      <c r="E4" s="5"/>
    </row>
    <row r="5" spans="1:12">
      <c r="A5" s="13" t="s">
        <v>13</v>
      </c>
      <c r="B5" s="11"/>
      <c r="C5" s="41"/>
      <c r="D5" s="14"/>
      <c r="E5" s="14"/>
      <c r="F5" s="11"/>
      <c r="G5" s="12"/>
      <c r="H5" s="12"/>
      <c r="I5" s="12"/>
      <c r="J5" s="12"/>
      <c r="K5" s="12"/>
      <c r="L5" s="12"/>
    </row>
    <row r="6" spans="1:12" ht="27.75" customHeight="1">
      <c r="A6" s="42" t="s">
        <v>385</v>
      </c>
      <c r="B6" s="208" t="s">
        <v>63</v>
      </c>
      <c r="C6" s="394">
        <v>100</v>
      </c>
      <c r="D6" s="203"/>
      <c r="E6" s="203"/>
      <c r="F6" s="203"/>
      <c r="G6" s="526" t="s">
        <v>181</v>
      </c>
      <c r="H6" s="526"/>
      <c r="I6" s="526" t="s">
        <v>182</v>
      </c>
      <c r="J6" s="526"/>
      <c r="L6" s="243">
        <f>SUM(L7:L11)</f>
        <v>14.744000000000002</v>
      </c>
    </row>
    <row r="7" spans="1:12">
      <c r="B7" s="201" t="s">
        <v>315</v>
      </c>
      <c r="C7" s="394"/>
      <c r="D7" s="203"/>
      <c r="E7" s="527" t="s">
        <v>97</v>
      </c>
      <c r="F7" s="527"/>
      <c r="G7" s="528">
        <v>100.78</v>
      </c>
      <c r="H7" s="528"/>
      <c r="I7" s="528">
        <v>100</v>
      </c>
      <c r="J7" s="528"/>
      <c r="K7">
        <v>140</v>
      </c>
      <c r="L7">
        <f>G7*K7/1000</f>
        <v>14.109200000000001</v>
      </c>
    </row>
    <row r="8" spans="1:12">
      <c r="B8" s="201"/>
      <c r="C8" s="394"/>
      <c r="D8" s="203"/>
      <c r="E8" s="527" t="s">
        <v>98</v>
      </c>
      <c r="F8" s="527"/>
      <c r="G8" s="528">
        <v>11.28</v>
      </c>
      <c r="H8" s="528"/>
      <c r="I8" s="528">
        <v>9</v>
      </c>
      <c r="J8" s="528"/>
      <c r="L8">
        <f t="shared" ref="L8:L11" si="0">G8*K8/1000</f>
        <v>0</v>
      </c>
    </row>
    <row r="9" spans="1:12">
      <c r="B9" s="201"/>
      <c r="C9" s="394"/>
      <c r="D9" s="203"/>
      <c r="E9" s="527" t="s">
        <v>99</v>
      </c>
      <c r="F9" s="527"/>
      <c r="G9" s="528">
        <v>10.74</v>
      </c>
      <c r="H9" s="528"/>
      <c r="I9" s="528">
        <v>9</v>
      </c>
      <c r="J9" s="528"/>
      <c r="K9">
        <v>20</v>
      </c>
      <c r="L9">
        <f t="shared" si="0"/>
        <v>0.21480000000000002</v>
      </c>
    </row>
    <row r="10" spans="1:12">
      <c r="B10" s="201"/>
      <c r="C10" s="394"/>
      <c r="D10" s="203"/>
      <c r="E10" s="527" t="s">
        <v>81</v>
      </c>
      <c r="F10" s="527"/>
      <c r="G10" s="528">
        <v>3</v>
      </c>
      <c r="H10" s="528"/>
      <c r="I10" s="528">
        <v>3</v>
      </c>
      <c r="J10" s="528"/>
      <c r="K10">
        <v>140</v>
      </c>
      <c r="L10">
        <f t="shared" si="0"/>
        <v>0.42</v>
      </c>
    </row>
    <row r="11" spans="1:12">
      <c r="B11" s="201"/>
      <c r="C11" s="394"/>
      <c r="D11" s="203"/>
      <c r="E11" s="533" t="s">
        <v>21</v>
      </c>
      <c r="F11" s="533"/>
      <c r="G11" s="528">
        <v>60</v>
      </c>
      <c r="H11" s="528"/>
      <c r="I11" s="244"/>
      <c r="J11" s="244"/>
      <c r="L11">
        <f t="shared" si="0"/>
        <v>0</v>
      </c>
    </row>
    <row r="12" spans="1:12">
      <c r="B12" s="201"/>
      <c r="C12" s="394"/>
      <c r="D12" s="203"/>
      <c r="E12" s="221"/>
      <c r="F12" s="222"/>
      <c r="G12" s="534"/>
      <c r="H12" s="534"/>
      <c r="I12" s="500"/>
      <c r="J12" s="500"/>
    </row>
    <row r="13" spans="1:12">
      <c r="B13" s="201" t="s">
        <v>332</v>
      </c>
      <c r="C13" s="394">
        <v>100</v>
      </c>
      <c r="D13" s="203"/>
      <c r="E13" s="245"/>
      <c r="F13" s="245"/>
      <c r="G13" s="385"/>
      <c r="H13" s="385"/>
      <c r="I13" s="386"/>
      <c r="J13" s="386"/>
      <c r="L13" s="50">
        <f>SUM(L14:L18)</f>
        <v>7.5185000000000004</v>
      </c>
    </row>
    <row r="14" spans="1:12">
      <c r="B14" s="201"/>
      <c r="C14" s="394"/>
      <c r="D14" s="203"/>
      <c r="E14" s="501" t="s">
        <v>333</v>
      </c>
      <c r="F14" s="501"/>
      <c r="G14" s="502">
        <v>27</v>
      </c>
      <c r="H14" s="502"/>
      <c r="I14" s="502">
        <v>26</v>
      </c>
      <c r="J14" s="502"/>
      <c r="K14">
        <v>150</v>
      </c>
      <c r="L14">
        <f t="shared" ref="L14:L18" si="1">G14*K14/1000</f>
        <v>4.05</v>
      </c>
    </row>
    <row r="15" spans="1:12">
      <c r="B15" s="201"/>
      <c r="C15" s="394"/>
      <c r="D15" s="203"/>
      <c r="E15" s="518" t="s">
        <v>334</v>
      </c>
      <c r="F15" s="519"/>
      <c r="G15" s="508">
        <v>31</v>
      </c>
      <c r="H15" s="510"/>
      <c r="I15" s="508">
        <v>30</v>
      </c>
      <c r="J15" s="510"/>
      <c r="K15">
        <v>100</v>
      </c>
      <c r="L15">
        <f t="shared" si="1"/>
        <v>3.1</v>
      </c>
    </row>
    <row r="16" spans="1:12">
      <c r="B16" s="201"/>
      <c r="C16" s="394"/>
      <c r="D16" s="203"/>
      <c r="E16" s="518" t="s">
        <v>335</v>
      </c>
      <c r="F16" s="519"/>
      <c r="G16" s="508">
        <v>4</v>
      </c>
      <c r="H16" s="510"/>
      <c r="I16" s="508">
        <v>4</v>
      </c>
      <c r="J16" s="510"/>
      <c r="K16">
        <v>20</v>
      </c>
      <c r="L16">
        <f t="shared" si="1"/>
        <v>0.08</v>
      </c>
    </row>
    <row r="17" spans="2:12">
      <c r="B17" s="201"/>
      <c r="C17" s="394"/>
      <c r="D17" s="203"/>
      <c r="E17" s="518" t="s">
        <v>81</v>
      </c>
      <c r="F17" s="519"/>
      <c r="G17" s="508">
        <v>2</v>
      </c>
      <c r="H17" s="510"/>
      <c r="I17" s="508">
        <v>2</v>
      </c>
      <c r="J17" s="510"/>
      <c r="K17">
        <v>140</v>
      </c>
      <c r="L17">
        <f t="shared" si="1"/>
        <v>0.28000000000000003</v>
      </c>
    </row>
    <row r="18" spans="2:12">
      <c r="B18" s="201"/>
      <c r="C18" s="394"/>
      <c r="D18" s="203"/>
      <c r="E18" s="501" t="s">
        <v>94</v>
      </c>
      <c r="F18" s="501"/>
      <c r="G18" s="502">
        <v>0.5</v>
      </c>
      <c r="H18" s="502"/>
      <c r="I18" s="502">
        <v>0.5</v>
      </c>
      <c r="J18" s="502"/>
      <c r="K18">
        <v>17</v>
      </c>
      <c r="L18">
        <f t="shared" si="1"/>
        <v>8.5000000000000006E-3</v>
      </c>
    </row>
    <row r="19" spans="2:12">
      <c r="B19" s="201"/>
      <c r="C19" s="394"/>
      <c r="D19" s="203"/>
      <c r="E19" s="520" t="s">
        <v>74</v>
      </c>
      <c r="F19" s="520"/>
      <c r="G19" s="499" t="s">
        <v>30</v>
      </c>
      <c r="H19" s="499"/>
      <c r="I19" s="500">
        <v>60</v>
      </c>
      <c r="J19" s="500"/>
    </row>
    <row r="20" spans="2:12">
      <c r="B20" s="201"/>
      <c r="C20" s="394"/>
      <c r="D20" s="203"/>
      <c r="E20" s="245"/>
      <c r="F20" s="245"/>
      <c r="G20" s="385"/>
      <c r="H20" s="385"/>
      <c r="I20" s="386"/>
      <c r="J20" s="386"/>
    </row>
    <row r="21" spans="2:12">
      <c r="B21" s="201"/>
      <c r="C21" s="394"/>
      <c r="D21" s="203"/>
      <c r="E21" s="245"/>
      <c r="F21" s="245"/>
      <c r="G21" s="385"/>
      <c r="H21" s="385"/>
      <c r="I21" s="386"/>
      <c r="J21" s="386"/>
    </row>
    <row r="22" spans="2:12">
      <c r="B22" s="201"/>
      <c r="C22" s="394"/>
      <c r="D22" s="203"/>
      <c r="E22" s="203"/>
      <c r="F22" s="203"/>
      <c r="G22" s="203"/>
      <c r="H22" s="203"/>
      <c r="I22" s="203"/>
      <c r="J22" s="203"/>
    </row>
    <row r="23" spans="2:12">
      <c r="B23" s="246" t="s">
        <v>279</v>
      </c>
      <c r="C23" s="394">
        <v>250</v>
      </c>
      <c r="D23" s="203"/>
      <c r="E23" s="203"/>
      <c r="F23" s="203"/>
      <c r="G23" s="526" t="s">
        <v>181</v>
      </c>
      <c r="H23" s="503"/>
      <c r="I23" s="526" t="s">
        <v>182</v>
      </c>
      <c r="J23" s="503"/>
      <c r="L23" s="243">
        <f>SUM(L24:L40)</f>
        <v>5.4248199999999986</v>
      </c>
    </row>
    <row r="24" spans="2:12">
      <c r="B24" s="201"/>
      <c r="C24" s="394"/>
      <c r="D24" s="203"/>
      <c r="E24" s="247" t="s">
        <v>116</v>
      </c>
      <c r="F24" s="248"/>
      <c r="G24" s="423">
        <v>38.46</v>
      </c>
      <c r="H24" s="233"/>
      <c r="I24" s="423">
        <v>30.76</v>
      </c>
      <c r="J24" s="234"/>
      <c r="K24">
        <v>35</v>
      </c>
      <c r="L24">
        <f>G24*K24/1000</f>
        <v>1.3461000000000001</v>
      </c>
    </row>
    <row r="25" spans="2:12">
      <c r="B25" s="201"/>
      <c r="C25" s="394"/>
      <c r="D25" s="203"/>
      <c r="E25" s="247" t="s">
        <v>83</v>
      </c>
      <c r="F25" s="211"/>
      <c r="G25" s="423">
        <v>19.239999999999998</v>
      </c>
      <c r="H25" s="235"/>
      <c r="I25" s="423">
        <v>15.38</v>
      </c>
      <c r="J25" s="236"/>
      <c r="K25">
        <v>45</v>
      </c>
      <c r="L25">
        <f t="shared" ref="L25:L37" si="2">G25*K25/1000</f>
        <v>0.8657999999999999</v>
      </c>
    </row>
    <row r="26" spans="2:12">
      <c r="B26" s="201"/>
      <c r="C26" s="394"/>
      <c r="D26" s="203"/>
      <c r="E26" s="247" t="s">
        <v>84</v>
      </c>
      <c r="F26" s="211"/>
      <c r="G26" s="423">
        <v>19.239999999999998</v>
      </c>
      <c r="H26" s="235"/>
      <c r="I26" s="423">
        <v>15.38</v>
      </c>
      <c r="J26" s="236"/>
      <c r="K26">
        <v>27</v>
      </c>
      <c r="L26">
        <f t="shared" si="2"/>
        <v>0.51947999999999994</v>
      </c>
    </row>
    <row r="27" spans="2:12">
      <c r="B27" s="201"/>
      <c r="C27" s="394"/>
      <c r="D27" s="203"/>
      <c r="E27" s="247" t="s">
        <v>85</v>
      </c>
      <c r="F27" s="211"/>
      <c r="G27" s="423">
        <v>9.6199999999999992</v>
      </c>
      <c r="H27" s="235"/>
      <c r="I27" s="423">
        <v>7.7</v>
      </c>
      <c r="J27" s="236"/>
      <c r="K27">
        <v>30</v>
      </c>
      <c r="L27">
        <f t="shared" si="2"/>
        <v>0.28859999999999997</v>
      </c>
    </row>
    <row r="28" spans="2:12">
      <c r="B28" s="201"/>
      <c r="C28" s="394"/>
      <c r="D28" s="203"/>
      <c r="E28" s="247" t="s">
        <v>86</v>
      </c>
      <c r="F28" s="211"/>
      <c r="G28" s="423">
        <v>9.16</v>
      </c>
      <c r="H28" s="235"/>
      <c r="I28" s="423">
        <v>7.7</v>
      </c>
      <c r="J28" s="236"/>
      <c r="K28">
        <v>20</v>
      </c>
      <c r="L28">
        <f t="shared" si="2"/>
        <v>0.1832</v>
      </c>
    </row>
    <row r="29" spans="2:12">
      <c r="B29" s="201"/>
      <c r="C29" s="394"/>
      <c r="D29" s="203"/>
      <c r="E29" s="247" t="s">
        <v>203</v>
      </c>
      <c r="F29" s="211"/>
      <c r="G29" s="423">
        <v>2.2999999999999998</v>
      </c>
      <c r="H29" s="211"/>
      <c r="I29" s="423">
        <v>2.2999999999999998</v>
      </c>
      <c r="J29" s="236"/>
      <c r="K29">
        <v>120</v>
      </c>
      <c r="L29">
        <f t="shared" si="2"/>
        <v>0.27600000000000002</v>
      </c>
    </row>
    <row r="30" spans="2:12">
      <c r="B30" s="201"/>
      <c r="C30" s="394"/>
      <c r="D30" s="203"/>
      <c r="E30" s="247" t="s">
        <v>81</v>
      </c>
      <c r="F30" s="211"/>
      <c r="G30" s="423">
        <v>3.08</v>
      </c>
      <c r="H30" s="249"/>
      <c r="I30" s="423">
        <v>3.08</v>
      </c>
      <c r="J30" s="420"/>
      <c r="K30">
        <v>140</v>
      </c>
      <c r="L30">
        <f t="shared" si="2"/>
        <v>0.43119999999999997</v>
      </c>
    </row>
    <row r="31" spans="2:12">
      <c r="B31" s="201"/>
      <c r="C31" s="394"/>
      <c r="D31" s="203"/>
      <c r="E31" s="247" t="s">
        <v>336</v>
      </c>
      <c r="F31" s="211"/>
      <c r="G31" s="423">
        <v>3.08</v>
      </c>
      <c r="H31" s="235"/>
      <c r="I31" s="423">
        <v>3.08</v>
      </c>
      <c r="J31" s="236"/>
      <c r="L31">
        <f t="shared" si="2"/>
        <v>0</v>
      </c>
    </row>
    <row r="32" spans="2:12">
      <c r="B32" s="201"/>
      <c r="C32" s="394"/>
      <c r="D32" s="203"/>
      <c r="E32" s="247" t="s">
        <v>28</v>
      </c>
      <c r="F32" s="211"/>
      <c r="G32" s="423">
        <v>2.2999999999999998</v>
      </c>
      <c r="H32" s="235"/>
      <c r="I32" s="423">
        <v>2.2999999999999998</v>
      </c>
      <c r="J32" s="236"/>
      <c r="K32">
        <v>55</v>
      </c>
      <c r="L32">
        <f t="shared" si="2"/>
        <v>0.12649999999999997</v>
      </c>
    </row>
    <row r="33" spans="1:12">
      <c r="B33" s="201"/>
      <c r="C33" s="394"/>
      <c r="D33" s="203"/>
      <c r="E33" s="247" t="s">
        <v>104</v>
      </c>
      <c r="F33" s="211"/>
      <c r="G33" s="423">
        <v>0.08</v>
      </c>
      <c r="H33" s="235"/>
      <c r="I33" s="423">
        <v>0.08</v>
      </c>
      <c r="J33" s="236"/>
      <c r="K33" s="250">
        <v>500</v>
      </c>
      <c r="L33">
        <f t="shared" si="2"/>
        <v>0.04</v>
      </c>
    </row>
    <row r="34" spans="1:12">
      <c r="B34" s="201"/>
      <c r="C34" s="394"/>
      <c r="D34" s="203"/>
      <c r="E34" s="247" t="s">
        <v>27</v>
      </c>
      <c r="F34" s="211"/>
      <c r="G34" s="423">
        <v>153.84</v>
      </c>
      <c r="H34" s="211"/>
      <c r="I34" s="423">
        <v>153.84</v>
      </c>
      <c r="J34" s="236"/>
      <c r="K34" s="251"/>
      <c r="L34">
        <f t="shared" si="2"/>
        <v>0</v>
      </c>
    </row>
    <row r="35" spans="1:12">
      <c r="B35" s="201"/>
      <c r="C35" s="394"/>
      <c r="D35" s="203"/>
      <c r="E35" s="247" t="s">
        <v>89</v>
      </c>
      <c r="F35" s="211"/>
      <c r="G35" s="423">
        <v>153.84</v>
      </c>
      <c r="H35" s="235"/>
      <c r="I35" s="423">
        <v>153.84</v>
      </c>
      <c r="J35" s="236"/>
      <c r="K35" s="251"/>
      <c r="L35">
        <f t="shared" si="2"/>
        <v>0</v>
      </c>
    </row>
    <row r="36" spans="1:12">
      <c r="B36" s="201"/>
      <c r="C36" s="394"/>
      <c r="D36" s="203"/>
      <c r="E36" s="247" t="s">
        <v>173</v>
      </c>
      <c r="F36" s="211"/>
      <c r="G36" s="423">
        <v>153.84</v>
      </c>
      <c r="H36" s="235"/>
      <c r="I36" s="423">
        <v>153.84</v>
      </c>
      <c r="J36" s="236"/>
      <c r="K36" s="251"/>
      <c r="L36">
        <f t="shared" si="2"/>
        <v>0</v>
      </c>
    </row>
    <row r="37" spans="1:12">
      <c r="B37" s="201"/>
      <c r="C37" s="394"/>
      <c r="D37" s="203"/>
      <c r="E37" s="247" t="s">
        <v>109</v>
      </c>
      <c r="F37" s="211"/>
      <c r="G37" s="423">
        <v>7.7</v>
      </c>
      <c r="H37" s="235"/>
      <c r="I37" s="423">
        <v>7.7</v>
      </c>
      <c r="J37" s="236"/>
      <c r="K37" s="251">
        <v>173.6</v>
      </c>
      <c r="L37">
        <f t="shared" si="2"/>
        <v>1.3367200000000001</v>
      </c>
    </row>
    <row r="38" spans="1:12">
      <c r="B38" s="201"/>
      <c r="C38" s="394"/>
      <c r="D38" s="203"/>
      <c r="E38" s="247" t="s">
        <v>337</v>
      </c>
      <c r="F38" s="211"/>
      <c r="G38" s="423" t="s">
        <v>30</v>
      </c>
      <c r="H38" s="235"/>
      <c r="I38" s="423" t="s">
        <v>30</v>
      </c>
      <c r="J38" s="236"/>
      <c r="K38" s="251"/>
    </row>
    <row r="39" spans="1:12">
      <c r="B39" s="201"/>
      <c r="C39" s="394"/>
      <c r="D39" s="203"/>
      <c r="E39" s="247" t="s">
        <v>29</v>
      </c>
      <c r="F39" s="211"/>
      <c r="G39" s="423">
        <v>0.66</v>
      </c>
      <c r="H39" s="235"/>
      <c r="I39" s="423">
        <v>0.66</v>
      </c>
      <c r="J39" s="236"/>
      <c r="K39">
        <v>17</v>
      </c>
      <c r="L39">
        <f t="shared" ref="L39:L40" si="3">G39*K39/1000</f>
        <v>1.1220000000000001E-2</v>
      </c>
    </row>
    <row r="40" spans="1:12">
      <c r="B40" s="201"/>
      <c r="C40" s="394"/>
      <c r="D40" s="203"/>
      <c r="E40" s="252" t="s">
        <v>21</v>
      </c>
      <c r="F40" s="211"/>
      <c r="G40" s="521">
        <v>200</v>
      </c>
      <c r="H40" s="522"/>
      <c r="I40" s="522"/>
      <c r="J40" s="523"/>
      <c r="L40">
        <f t="shared" si="3"/>
        <v>0</v>
      </c>
    </row>
    <row r="41" spans="1:12" s="12" customFormat="1">
      <c r="A41" s="13"/>
      <c r="B41" s="201"/>
      <c r="C41" s="394"/>
      <c r="D41" s="203"/>
      <c r="E41" s="203"/>
      <c r="F41" s="203"/>
      <c r="G41" s="203"/>
      <c r="H41" s="203"/>
      <c r="I41" s="203"/>
      <c r="J41" s="203"/>
      <c r="K41"/>
      <c r="L41"/>
    </row>
    <row r="42" spans="1:12">
      <c r="B42" s="201" t="s">
        <v>338</v>
      </c>
      <c r="C42" s="394">
        <v>240</v>
      </c>
      <c r="D42" s="203"/>
      <c r="E42" s="203"/>
      <c r="F42" s="203"/>
      <c r="G42" s="503" t="s">
        <v>181</v>
      </c>
      <c r="H42" s="503"/>
      <c r="I42" s="503" t="s">
        <v>182</v>
      </c>
      <c r="J42" s="503"/>
      <c r="L42" s="243">
        <f>SUM(L43:L51)</f>
        <v>32.640100000000004</v>
      </c>
    </row>
    <row r="43" spans="1:12">
      <c r="B43" s="201"/>
      <c r="C43" s="394"/>
      <c r="D43" s="203"/>
      <c r="E43" s="501" t="s">
        <v>339</v>
      </c>
      <c r="F43" s="501"/>
      <c r="G43" s="502">
        <v>80</v>
      </c>
      <c r="H43" s="502"/>
      <c r="I43" s="502">
        <v>72</v>
      </c>
      <c r="J43" s="502"/>
      <c r="K43">
        <v>270</v>
      </c>
      <c r="L43">
        <f>K43*G43/1000</f>
        <v>21.6</v>
      </c>
    </row>
    <row r="44" spans="1:12">
      <c r="B44" s="201"/>
      <c r="C44" s="394"/>
      <c r="D44" s="203"/>
      <c r="E44" s="518" t="s">
        <v>25</v>
      </c>
      <c r="F44" s="519"/>
      <c r="G44" s="508">
        <v>55</v>
      </c>
      <c r="H44" s="510"/>
      <c r="I44" s="508">
        <v>55</v>
      </c>
      <c r="J44" s="510"/>
      <c r="K44">
        <v>75</v>
      </c>
      <c r="L44">
        <f t="shared" ref="L44:L51" si="4">K44*G44/1000</f>
        <v>4.125</v>
      </c>
    </row>
    <row r="45" spans="1:12">
      <c r="B45" s="201"/>
      <c r="C45" s="394"/>
      <c r="D45" s="203"/>
      <c r="E45" s="518" t="s">
        <v>85</v>
      </c>
      <c r="F45" s="519"/>
      <c r="G45" s="508">
        <v>20</v>
      </c>
      <c r="H45" s="510"/>
      <c r="I45" s="508">
        <v>17</v>
      </c>
      <c r="J45" s="510"/>
      <c r="K45">
        <v>30</v>
      </c>
      <c r="L45">
        <f t="shared" si="4"/>
        <v>0.6</v>
      </c>
    </row>
    <row r="46" spans="1:12">
      <c r="B46" s="201"/>
      <c r="C46" s="394"/>
      <c r="D46" s="203"/>
      <c r="E46" s="518" t="s">
        <v>86</v>
      </c>
      <c r="F46" s="519"/>
      <c r="G46" s="508">
        <v>21</v>
      </c>
      <c r="H46" s="510"/>
      <c r="I46" s="508">
        <v>18</v>
      </c>
      <c r="J46" s="510"/>
      <c r="K46">
        <v>20</v>
      </c>
      <c r="L46">
        <f t="shared" si="4"/>
        <v>0.42</v>
      </c>
    </row>
    <row r="47" spans="1:12">
      <c r="B47" s="201"/>
      <c r="C47" s="394"/>
      <c r="D47" s="203"/>
      <c r="E47" s="518" t="s">
        <v>81</v>
      </c>
      <c r="F47" s="519"/>
      <c r="G47" s="524">
        <v>10</v>
      </c>
      <c r="H47" s="525"/>
      <c r="I47" s="524">
        <v>10</v>
      </c>
      <c r="J47" s="525"/>
      <c r="K47">
        <v>140</v>
      </c>
      <c r="L47">
        <f t="shared" si="4"/>
        <v>1.4</v>
      </c>
    </row>
    <row r="48" spans="1:12" ht="16.5" customHeight="1">
      <c r="B48" s="201"/>
      <c r="C48" s="394"/>
      <c r="D48" s="203"/>
      <c r="E48" s="518" t="s">
        <v>340</v>
      </c>
      <c r="F48" s="519"/>
      <c r="G48" s="508">
        <v>4</v>
      </c>
      <c r="H48" s="510"/>
      <c r="I48" s="508">
        <v>4</v>
      </c>
      <c r="J48" s="510"/>
      <c r="K48">
        <v>135</v>
      </c>
      <c r="L48">
        <f t="shared" si="4"/>
        <v>0.54</v>
      </c>
    </row>
    <row r="49" spans="1:12" ht="16.5" customHeight="1">
      <c r="B49" s="201"/>
      <c r="C49" s="394"/>
      <c r="D49" s="203"/>
      <c r="E49" s="518" t="s">
        <v>20</v>
      </c>
      <c r="F49" s="519"/>
      <c r="G49" s="508">
        <v>7</v>
      </c>
      <c r="H49" s="510"/>
      <c r="I49" s="508">
        <v>7</v>
      </c>
      <c r="J49" s="510"/>
      <c r="K49">
        <v>550</v>
      </c>
      <c r="L49">
        <f t="shared" si="4"/>
        <v>3.85</v>
      </c>
    </row>
    <row r="50" spans="1:12" ht="16.5" customHeight="1">
      <c r="B50" s="201"/>
      <c r="C50" s="394"/>
      <c r="D50" s="203"/>
      <c r="E50" s="501" t="s">
        <v>94</v>
      </c>
      <c r="F50" s="501"/>
      <c r="G50" s="502">
        <v>0.3</v>
      </c>
      <c r="H50" s="502"/>
      <c r="I50" s="502">
        <v>0.3</v>
      </c>
      <c r="J50" s="502"/>
      <c r="K50">
        <v>17</v>
      </c>
      <c r="L50">
        <f t="shared" si="4"/>
        <v>5.0999999999999995E-3</v>
      </c>
    </row>
    <row r="51" spans="1:12" ht="16.5" customHeight="1">
      <c r="B51" s="201"/>
      <c r="C51" s="394"/>
      <c r="D51" s="203"/>
      <c r="E51" s="535" t="s">
        <v>101</v>
      </c>
      <c r="F51" s="536"/>
      <c r="G51" s="537">
        <v>0.1</v>
      </c>
      <c r="H51" s="538"/>
      <c r="I51" s="537">
        <v>0.1</v>
      </c>
      <c r="J51" s="538"/>
      <c r="K51">
        <v>1000</v>
      </c>
      <c r="L51">
        <f t="shared" si="4"/>
        <v>0.1</v>
      </c>
    </row>
    <row r="52" spans="1:12" ht="16.5" customHeight="1">
      <c r="B52" s="201"/>
      <c r="C52" s="394"/>
      <c r="D52" s="203"/>
      <c r="E52" s="520" t="s">
        <v>74</v>
      </c>
      <c r="F52" s="520"/>
      <c r="G52" s="499" t="s">
        <v>30</v>
      </c>
      <c r="H52" s="499"/>
      <c r="I52" s="500">
        <v>240</v>
      </c>
      <c r="J52" s="500"/>
    </row>
    <row r="53" spans="1:12" ht="16.5" customHeight="1">
      <c r="B53" s="201"/>
      <c r="C53" s="394"/>
      <c r="D53" s="203"/>
      <c r="E53" s="203"/>
      <c r="F53" s="203"/>
      <c r="G53" s="203"/>
      <c r="H53" s="203"/>
      <c r="I53" s="203"/>
      <c r="J53" s="203"/>
    </row>
    <row r="54" spans="1:12" ht="16.5" customHeight="1">
      <c r="B54" s="201" t="s">
        <v>341</v>
      </c>
      <c r="C54" s="394">
        <v>200</v>
      </c>
      <c r="D54" s="203"/>
      <c r="E54" s="203"/>
      <c r="F54" s="203"/>
      <c r="G54" s="503" t="s">
        <v>181</v>
      </c>
      <c r="H54" s="503"/>
      <c r="I54" s="503" t="s">
        <v>182</v>
      </c>
      <c r="J54" s="503"/>
      <c r="L54" s="243">
        <f>SUM(L55:L58)</f>
        <v>5.7830000000000004</v>
      </c>
    </row>
    <row r="55" spans="1:12" ht="16.5" customHeight="1">
      <c r="B55" s="201"/>
      <c r="C55" s="394"/>
      <c r="D55" s="203"/>
      <c r="E55" s="501" t="s">
        <v>184</v>
      </c>
      <c r="F55" s="501"/>
      <c r="G55" s="502">
        <v>45</v>
      </c>
      <c r="H55" s="502"/>
      <c r="I55" s="502">
        <v>40</v>
      </c>
      <c r="J55" s="502"/>
      <c r="K55">
        <v>62.4</v>
      </c>
      <c r="L55">
        <f>G55*K55/1000</f>
        <v>2.8079999999999998</v>
      </c>
    </row>
    <row r="56" spans="1:12" ht="16.5" customHeight="1">
      <c r="B56" s="201"/>
      <c r="C56" s="394"/>
      <c r="D56" s="203"/>
      <c r="E56" s="518" t="s">
        <v>342</v>
      </c>
      <c r="F56" s="519"/>
      <c r="G56" s="508">
        <v>10</v>
      </c>
      <c r="H56" s="510"/>
      <c r="I56" s="508">
        <v>8</v>
      </c>
      <c r="J56" s="510"/>
      <c r="K56">
        <v>215</v>
      </c>
      <c r="L56">
        <f t="shared" ref="L56:L58" si="5">G56*K56/1000</f>
        <v>2.15</v>
      </c>
    </row>
    <row r="57" spans="1:12" ht="16.5" customHeight="1">
      <c r="B57" s="201"/>
      <c r="C57" s="394"/>
      <c r="D57" s="203"/>
      <c r="E57" s="518" t="s">
        <v>103</v>
      </c>
      <c r="F57" s="519"/>
      <c r="G57" s="508">
        <v>15</v>
      </c>
      <c r="H57" s="510"/>
      <c r="I57" s="508">
        <v>15</v>
      </c>
      <c r="J57" s="510"/>
      <c r="K57">
        <v>55</v>
      </c>
      <c r="L57">
        <f t="shared" si="5"/>
        <v>0.82499999999999996</v>
      </c>
    </row>
    <row r="58" spans="1:12" ht="16.5" customHeight="1">
      <c r="B58" s="201"/>
      <c r="C58" s="394"/>
      <c r="D58" s="203"/>
      <c r="E58" s="518" t="s">
        <v>27</v>
      </c>
      <c r="F58" s="519"/>
      <c r="G58" s="508">
        <v>170</v>
      </c>
      <c r="H58" s="510"/>
      <c r="I58" s="508">
        <v>170</v>
      </c>
      <c r="J58" s="510"/>
      <c r="L58">
        <f t="shared" si="5"/>
        <v>0</v>
      </c>
    </row>
    <row r="59" spans="1:12" ht="16.5" customHeight="1">
      <c r="B59" s="201"/>
      <c r="C59" s="394"/>
      <c r="D59" s="203"/>
      <c r="E59" s="520" t="s">
        <v>74</v>
      </c>
      <c r="F59" s="520"/>
      <c r="G59" s="499" t="s">
        <v>30</v>
      </c>
      <c r="H59" s="499"/>
      <c r="I59" s="500">
        <v>200</v>
      </c>
      <c r="J59" s="500"/>
    </row>
    <row r="60" spans="1:12" ht="16.5" customHeight="1">
      <c r="B60" s="201"/>
      <c r="C60" s="394"/>
      <c r="D60" s="203"/>
      <c r="E60" s="203"/>
      <c r="F60" s="203"/>
      <c r="G60" s="203"/>
      <c r="H60" s="203"/>
      <c r="I60" s="203"/>
      <c r="J60" s="203"/>
    </row>
    <row r="61" spans="1:12" ht="16.5" customHeight="1">
      <c r="B61" s="201" t="s">
        <v>263</v>
      </c>
      <c r="C61" s="394">
        <v>40</v>
      </c>
      <c r="D61" s="203"/>
      <c r="E61" s="501" t="s">
        <v>263</v>
      </c>
      <c r="F61" s="501"/>
      <c r="G61" s="502">
        <v>40</v>
      </c>
      <c r="H61" s="502"/>
      <c r="I61" s="502">
        <v>40</v>
      </c>
      <c r="J61" s="502"/>
      <c r="K61">
        <v>29.72</v>
      </c>
      <c r="L61" s="243">
        <f>K61/1000*G61</f>
        <v>1.1888000000000001</v>
      </c>
    </row>
    <row r="62" spans="1:12" ht="16.5" customHeight="1">
      <c r="B62" s="201"/>
      <c r="C62" s="394"/>
      <c r="D62" s="203"/>
      <c r="E62" s="203"/>
      <c r="F62" s="203"/>
      <c r="G62" s="203"/>
      <c r="H62" s="203"/>
      <c r="I62" s="203"/>
      <c r="J62" s="203"/>
    </row>
    <row r="63" spans="1:12" ht="16.5" customHeight="1">
      <c r="B63" s="201" t="s">
        <v>4</v>
      </c>
      <c r="C63" s="394">
        <v>30</v>
      </c>
      <c r="D63" s="203"/>
      <c r="E63" s="501" t="s">
        <v>4</v>
      </c>
      <c r="F63" s="501"/>
      <c r="G63" s="502">
        <v>30</v>
      </c>
      <c r="H63" s="502"/>
      <c r="I63" s="502">
        <v>30</v>
      </c>
      <c r="J63" s="502"/>
      <c r="K63">
        <v>45.54</v>
      </c>
      <c r="L63" s="243">
        <f>K63/1000*G63</f>
        <v>1.3661999999999999</v>
      </c>
    </row>
    <row r="64" spans="1:12" ht="16.5" customHeight="1">
      <c r="A64" s="42" t="s">
        <v>343</v>
      </c>
      <c r="B64" s="201" t="s">
        <v>263</v>
      </c>
      <c r="C64" s="394">
        <v>40</v>
      </c>
      <c r="D64" s="203"/>
      <c r="E64" s="501" t="s">
        <v>263</v>
      </c>
      <c r="F64" s="501"/>
      <c r="G64" s="502">
        <v>40</v>
      </c>
      <c r="H64" s="502"/>
      <c r="I64" s="502">
        <v>40</v>
      </c>
      <c r="J64" s="502"/>
      <c r="K64">
        <v>29.72</v>
      </c>
      <c r="L64" s="204">
        <f>K64/1000*G64</f>
        <v>1.1888000000000001</v>
      </c>
    </row>
    <row r="65" spans="2:12">
      <c r="B65" s="201"/>
      <c r="C65" s="394"/>
      <c r="D65" s="203"/>
      <c r="E65" s="203"/>
      <c r="F65" s="203"/>
      <c r="G65" s="203"/>
      <c r="H65" s="203"/>
      <c r="I65" s="203"/>
      <c r="J65" s="203"/>
    </row>
    <row r="66" spans="2:12">
      <c r="B66" s="201" t="s">
        <v>4</v>
      </c>
      <c r="C66" s="394">
        <v>30</v>
      </c>
      <c r="D66" s="203"/>
      <c r="E66" s="501" t="s">
        <v>4</v>
      </c>
      <c r="F66" s="501"/>
      <c r="G66" s="502">
        <v>30</v>
      </c>
      <c r="H66" s="502"/>
      <c r="I66" s="502">
        <v>30</v>
      </c>
      <c r="J66" s="502"/>
      <c r="K66">
        <v>45.54</v>
      </c>
      <c r="L66" s="204">
        <f>K66/1000*G66</f>
        <v>1.3661999999999999</v>
      </c>
    </row>
    <row r="67" spans="2:12">
      <c r="B67" s="201"/>
      <c r="C67" s="394"/>
      <c r="D67" s="501" t="s">
        <v>94</v>
      </c>
      <c r="E67" s="501"/>
      <c r="F67" s="501"/>
      <c r="G67" s="349">
        <v>1.5</v>
      </c>
      <c r="H67" s="349"/>
      <c r="I67" s="349">
        <v>1.5</v>
      </c>
      <c r="J67" s="349"/>
      <c r="K67">
        <v>17</v>
      </c>
      <c r="L67">
        <f t="shared" ref="L67:L68" si="6">G67*K67/1000</f>
        <v>2.5499999999999998E-2</v>
      </c>
    </row>
    <row r="68" spans="2:12">
      <c r="B68" s="201"/>
      <c r="C68" s="394"/>
      <c r="D68" s="501" t="s">
        <v>81</v>
      </c>
      <c r="E68" s="501"/>
      <c r="F68" s="501"/>
      <c r="G68" s="349">
        <v>3</v>
      </c>
      <c r="H68" s="349"/>
      <c r="I68" s="349">
        <v>3</v>
      </c>
      <c r="J68" s="349"/>
      <c r="K68">
        <v>140</v>
      </c>
      <c r="L68">
        <f t="shared" si="6"/>
        <v>0.42</v>
      </c>
    </row>
    <row r="69" spans="2:12">
      <c r="B69" s="201"/>
      <c r="C69" s="394"/>
      <c r="D69" s="520" t="s">
        <v>74</v>
      </c>
      <c r="E69" s="520"/>
      <c r="F69" s="520"/>
      <c r="G69" s="499" t="s">
        <v>30</v>
      </c>
      <c r="H69" s="499"/>
      <c r="I69" s="500">
        <v>60</v>
      </c>
      <c r="J69" s="500"/>
    </row>
    <row r="70" spans="2:12">
      <c r="B70" s="201"/>
      <c r="C70" s="394"/>
      <c r="D70" s="384"/>
      <c r="E70" s="384"/>
      <c r="F70" s="384"/>
      <c r="G70" s="385"/>
      <c r="H70" s="385"/>
      <c r="I70" s="386"/>
      <c r="J70" s="386"/>
    </row>
    <row r="71" spans="2:12">
      <c r="B71" s="201"/>
      <c r="C71" s="394"/>
      <c r="D71" s="384"/>
      <c r="E71" s="384"/>
      <c r="F71" s="384"/>
      <c r="G71" s="385"/>
      <c r="H71" s="385"/>
      <c r="I71" s="386"/>
      <c r="J71" s="386"/>
    </row>
    <row r="72" spans="2:12">
      <c r="B72" s="201"/>
      <c r="C72" s="394"/>
      <c r="D72" s="203"/>
      <c r="E72" s="203"/>
      <c r="F72" s="203"/>
      <c r="G72" s="203"/>
      <c r="H72" s="203"/>
      <c r="I72" s="203"/>
      <c r="J72" s="203"/>
    </row>
    <row r="73" spans="2:12">
      <c r="B73" s="208" t="s">
        <v>320</v>
      </c>
      <c r="C73" s="394">
        <v>250</v>
      </c>
      <c r="D73" s="203"/>
      <c r="E73" s="203"/>
      <c r="F73" s="203"/>
      <c r="G73" s="368" t="s">
        <v>181</v>
      </c>
      <c r="H73" s="203"/>
      <c r="I73" s="203"/>
      <c r="J73" s="203"/>
      <c r="L73" s="229">
        <f>SUM(L74:L86)</f>
        <v>3.6983999999999999</v>
      </c>
    </row>
    <row r="74" spans="2:12">
      <c r="B74" s="201"/>
      <c r="C74" s="394"/>
      <c r="D74" s="539" t="s">
        <v>121</v>
      </c>
      <c r="E74" s="539"/>
      <c r="F74" s="539"/>
      <c r="G74" s="203"/>
      <c r="H74" s="232"/>
      <c r="I74" s="203"/>
      <c r="J74" s="203"/>
    </row>
    <row r="75" spans="2:12">
      <c r="B75" s="201"/>
      <c r="C75" s="394"/>
      <c r="D75" s="539" t="s">
        <v>321</v>
      </c>
      <c r="E75" s="539"/>
      <c r="F75" s="539"/>
      <c r="G75" s="232">
        <v>92.4</v>
      </c>
      <c r="H75" s="232"/>
      <c r="I75" s="232">
        <v>60</v>
      </c>
      <c r="J75" s="203"/>
      <c r="L75">
        <f>G75*K75/1000</f>
        <v>0</v>
      </c>
    </row>
    <row r="76" spans="2:12">
      <c r="B76" s="201"/>
      <c r="C76" s="394"/>
      <c r="D76" s="539" t="s">
        <v>122</v>
      </c>
      <c r="E76" s="539"/>
      <c r="F76" s="539"/>
      <c r="G76" s="232">
        <v>100</v>
      </c>
      <c r="H76" s="232"/>
      <c r="I76" s="232">
        <v>60</v>
      </c>
      <c r="J76" s="203"/>
      <c r="L76">
        <f t="shared" ref="L76:L87" si="7">G76*K76/1000</f>
        <v>0</v>
      </c>
    </row>
    <row r="77" spans="2:12">
      <c r="B77" s="201"/>
      <c r="C77" s="394"/>
      <c r="D77" s="539" t="s">
        <v>123</v>
      </c>
      <c r="E77" s="539"/>
      <c r="F77" s="539"/>
      <c r="G77" s="232">
        <v>75</v>
      </c>
      <c r="H77" s="232"/>
      <c r="I77" s="232">
        <v>60</v>
      </c>
      <c r="J77" s="203"/>
      <c r="L77">
        <f t="shared" si="7"/>
        <v>0</v>
      </c>
    </row>
    <row r="78" spans="2:12">
      <c r="B78" s="201"/>
      <c r="C78" s="394"/>
      <c r="D78" s="539" t="s">
        <v>124</v>
      </c>
      <c r="E78" s="539"/>
      <c r="F78" s="539"/>
      <c r="G78" s="232">
        <v>80</v>
      </c>
      <c r="H78" s="232"/>
      <c r="I78" s="232">
        <v>60</v>
      </c>
      <c r="J78" s="203"/>
      <c r="K78">
        <v>27</v>
      </c>
      <c r="L78">
        <f>G78*K78/1000</f>
        <v>2.16</v>
      </c>
    </row>
    <row r="79" spans="2:12">
      <c r="B79" s="201"/>
      <c r="C79" s="394"/>
      <c r="D79" s="539" t="s">
        <v>125</v>
      </c>
      <c r="E79" s="539"/>
      <c r="F79" s="539"/>
      <c r="G79" s="232">
        <v>85.8</v>
      </c>
      <c r="H79" s="232"/>
      <c r="I79" s="232">
        <v>60</v>
      </c>
      <c r="J79" s="203"/>
      <c r="L79">
        <f t="shared" si="7"/>
        <v>0</v>
      </c>
    </row>
    <row r="80" spans="2:12">
      <c r="B80" s="201"/>
      <c r="C80" s="394"/>
      <c r="D80" s="539" t="s">
        <v>322</v>
      </c>
      <c r="E80" s="539"/>
      <c r="F80" s="539"/>
      <c r="G80" s="232">
        <v>8.1999999999999993</v>
      </c>
      <c r="H80" s="232"/>
      <c r="I80" s="232">
        <v>8</v>
      </c>
      <c r="J80" s="203"/>
      <c r="K80">
        <v>90</v>
      </c>
      <c r="L80">
        <f t="shared" si="7"/>
        <v>0.73799999999999988</v>
      </c>
    </row>
    <row r="81" spans="1:12">
      <c r="B81" s="201"/>
      <c r="C81" s="394"/>
      <c r="D81" s="539" t="s">
        <v>323</v>
      </c>
      <c r="E81" s="539"/>
      <c r="F81" s="539"/>
      <c r="G81" s="232"/>
      <c r="H81" s="232"/>
      <c r="I81" s="232"/>
      <c r="J81" s="203"/>
      <c r="L81">
        <f t="shared" si="7"/>
        <v>0</v>
      </c>
    </row>
    <row r="82" spans="1:12">
      <c r="B82" s="201"/>
      <c r="C82" s="394"/>
      <c r="D82" s="539" t="s">
        <v>126</v>
      </c>
      <c r="E82" s="539"/>
      <c r="F82" s="539"/>
      <c r="G82" s="232">
        <v>10.8</v>
      </c>
      <c r="H82" s="232"/>
      <c r="I82" s="232">
        <v>8</v>
      </c>
      <c r="J82" s="203"/>
      <c r="L82">
        <f t="shared" si="7"/>
        <v>0</v>
      </c>
    </row>
    <row r="83" spans="1:12">
      <c r="B83" s="201"/>
      <c r="C83" s="394"/>
      <c r="D83" s="539" t="s">
        <v>127</v>
      </c>
      <c r="E83" s="539"/>
      <c r="F83" s="539"/>
      <c r="G83" s="232">
        <v>10</v>
      </c>
      <c r="H83" s="232"/>
      <c r="I83" s="232">
        <v>8</v>
      </c>
      <c r="J83" s="203"/>
      <c r="K83">
        <v>30</v>
      </c>
      <c r="L83">
        <f t="shared" si="7"/>
        <v>0.3</v>
      </c>
    </row>
    <row r="84" spans="1:12">
      <c r="B84" s="201"/>
      <c r="C84" s="394"/>
      <c r="D84" s="539" t="s">
        <v>324</v>
      </c>
      <c r="E84" s="539"/>
      <c r="F84" s="539"/>
      <c r="G84" s="232">
        <v>10</v>
      </c>
      <c r="H84" s="232"/>
      <c r="I84" s="232">
        <v>8</v>
      </c>
      <c r="J84" s="203"/>
      <c r="K84">
        <v>20</v>
      </c>
      <c r="L84">
        <f t="shared" si="7"/>
        <v>0.2</v>
      </c>
    </row>
    <row r="85" spans="1:12">
      <c r="B85" s="201"/>
      <c r="C85" s="394"/>
      <c r="D85" s="539" t="s">
        <v>325</v>
      </c>
      <c r="E85" s="539"/>
      <c r="F85" s="539"/>
      <c r="G85" s="232">
        <v>2</v>
      </c>
      <c r="H85" s="232"/>
      <c r="I85" s="232">
        <v>2</v>
      </c>
      <c r="J85" s="203"/>
      <c r="K85">
        <v>140</v>
      </c>
      <c r="L85">
        <f t="shared" si="7"/>
        <v>0.28000000000000003</v>
      </c>
    </row>
    <row r="86" spans="1:12">
      <c r="B86" s="201"/>
      <c r="C86" s="394"/>
      <c r="D86" s="539" t="s">
        <v>326</v>
      </c>
      <c r="E86" s="539"/>
      <c r="F86" s="539"/>
      <c r="G86" s="232">
        <v>1.2</v>
      </c>
      <c r="H86" s="232"/>
      <c r="I86" s="232">
        <v>1.2</v>
      </c>
      <c r="J86" s="203"/>
      <c r="K86">
        <v>17</v>
      </c>
      <c r="L86">
        <f t="shared" si="7"/>
        <v>2.0399999999999998E-2</v>
      </c>
    </row>
    <row r="87" spans="1:12">
      <c r="B87" s="201"/>
      <c r="C87" s="394"/>
      <c r="D87" s="539" t="s">
        <v>327</v>
      </c>
      <c r="E87" s="539"/>
      <c r="F87" s="539"/>
      <c r="G87" s="232">
        <v>140</v>
      </c>
      <c r="H87" s="203"/>
      <c r="I87" s="232">
        <v>140</v>
      </c>
      <c r="J87" s="203"/>
      <c r="K87">
        <v>0</v>
      </c>
      <c r="L87">
        <f t="shared" si="7"/>
        <v>0</v>
      </c>
    </row>
    <row r="88" spans="1:12">
      <c r="B88" s="201"/>
      <c r="C88" s="394"/>
      <c r="D88" s="203"/>
      <c r="E88" s="203"/>
      <c r="F88" s="203"/>
      <c r="G88" s="203"/>
      <c r="H88" s="203"/>
      <c r="I88" s="203"/>
      <c r="J88" s="203"/>
    </row>
    <row r="89" spans="1:12">
      <c r="B89" s="208" t="s">
        <v>129</v>
      </c>
      <c r="C89" s="394">
        <v>100</v>
      </c>
      <c r="D89" s="203"/>
      <c r="E89" s="203"/>
      <c r="F89" s="203"/>
      <c r="G89" s="526" t="s">
        <v>181</v>
      </c>
      <c r="H89" s="503"/>
      <c r="I89" s="526" t="s">
        <v>182</v>
      </c>
      <c r="J89" s="503"/>
      <c r="L89" s="229">
        <f>SUM(L90:L97)</f>
        <v>220.62246000000002</v>
      </c>
    </row>
    <row r="90" spans="1:12">
      <c r="A90" s="13"/>
      <c r="B90" s="201"/>
      <c r="C90" s="394"/>
      <c r="D90" s="539" t="s">
        <v>128</v>
      </c>
      <c r="E90" s="539"/>
      <c r="F90" s="539"/>
      <c r="G90" s="357">
        <v>1467</v>
      </c>
      <c r="H90" s="233"/>
      <c r="I90" s="357">
        <v>85.5</v>
      </c>
      <c r="J90" s="234"/>
      <c r="K90">
        <v>149.13</v>
      </c>
      <c r="L90">
        <f>G90*K90/1000</f>
        <v>218.77370999999999</v>
      </c>
    </row>
    <row r="91" spans="1:12">
      <c r="B91" s="201"/>
      <c r="C91" s="394"/>
      <c r="D91" s="539" t="s">
        <v>27</v>
      </c>
      <c r="E91" s="539"/>
      <c r="F91" s="539"/>
      <c r="G91" s="357">
        <v>16.5</v>
      </c>
      <c r="H91" s="235"/>
      <c r="I91" s="357">
        <v>16.5</v>
      </c>
      <c r="J91" s="236"/>
      <c r="L91">
        <f t="shared" ref="L91:L97" si="8">G91*K91/1000</f>
        <v>0</v>
      </c>
    </row>
    <row r="92" spans="1:12">
      <c r="B92" s="201"/>
      <c r="C92" s="394"/>
      <c r="D92" s="539" t="s">
        <v>119</v>
      </c>
      <c r="E92" s="539"/>
      <c r="F92" s="539"/>
      <c r="G92" s="357">
        <v>25.35</v>
      </c>
      <c r="H92" s="235"/>
      <c r="I92" s="357">
        <v>20.25</v>
      </c>
      <c r="J92" s="236"/>
      <c r="K92">
        <v>30</v>
      </c>
      <c r="L92">
        <f t="shared" si="8"/>
        <v>0.76049999999999995</v>
      </c>
    </row>
    <row r="93" spans="1:12">
      <c r="B93" s="201"/>
      <c r="C93" s="394"/>
      <c r="D93" s="539" t="s">
        <v>86</v>
      </c>
      <c r="E93" s="539"/>
      <c r="F93" s="539"/>
      <c r="G93" s="357">
        <v>16.05</v>
      </c>
      <c r="H93" s="235"/>
      <c r="I93" s="357">
        <v>13.5</v>
      </c>
      <c r="J93" s="236"/>
      <c r="K93">
        <v>20</v>
      </c>
      <c r="L93">
        <f t="shared" si="8"/>
        <v>0.32100000000000001</v>
      </c>
    </row>
    <row r="94" spans="1:12">
      <c r="B94" s="201"/>
      <c r="C94" s="394"/>
      <c r="D94" s="539" t="s">
        <v>117</v>
      </c>
      <c r="E94" s="539"/>
      <c r="F94" s="539"/>
      <c r="G94" s="357">
        <v>4.8</v>
      </c>
      <c r="H94" s="211"/>
      <c r="I94" s="357">
        <v>4.8</v>
      </c>
      <c r="J94" s="236"/>
      <c r="K94">
        <v>140</v>
      </c>
      <c r="L94">
        <f t="shared" si="8"/>
        <v>0.67200000000000004</v>
      </c>
    </row>
    <row r="95" spans="1:12">
      <c r="B95" s="201"/>
      <c r="C95" s="394"/>
      <c r="D95" s="539" t="s">
        <v>28</v>
      </c>
      <c r="E95" s="539"/>
      <c r="F95" s="539"/>
      <c r="G95" s="357">
        <v>1.5</v>
      </c>
      <c r="H95" s="235"/>
      <c r="I95" s="357">
        <v>1.5</v>
      </c>
      <c r="J95" s="236"/>
      <c r="K95">
        <v>55</v>
      </c>
      <c r="L95">
        <f t="shared" si="8"/>
        <v>8.2500000000000004E-2</v>
      </c>
    </row>
    <row r="96" spans="1:12">
      <c r="B96" s="201"/>
      <c r="C96" s="394"/>
      <c r="D96" s="539" t="s">
        <v>29</v>
      </c>
      <c r="E96" s="539"/>
      <c r="F96" s="539"/>
      <c r="G96" s="357">
        <v>0.75</v>
      </c>
      <c r="H96" s="235"/>
      <c r="I96" s="357">
        <v>0.75</v>
      </c>
      <c r="J96" s="236"/>
      <c r="K96">
        <v>17</v>
      </c>
      <c r="L96">
        <f t="shared" si="8"/>
        <v>1.2749999999999999E-2</v>
      </c>
    </row>
    <row r="97" spans="2:12">
      <c r="B97" s="201"/>
      <c r="C97" s="394"/>
      <c r="D97" s="540" t="s">
        <v>328</v>
      </c>
      <c r="E97" s="541"/>
      <c r="F97" s="541"/>
      <c r="G97" s="237"/>
      <c r="H97" s="238"/>
      <c r="I97" s="237"/>
      <c r="J97" s="238"/>
      <c r="L97">
        <f t="shared" si="8"/>
        <v>0</v>
      </c>
    </row>
    <row r="98" spans="2:12" ht="13.5" customHeight="1">
      <c r="B98" s="201"/>
      <c r="C98" s="394"/>
      <c r="D98" s="203"/>
      <c r="E98" s="203"/>
      <c r="F98" s="203"/>
      <c r="G98" s="203"/>
      <c r="H98" s="203"/>
      <c r="I98" s="203"/>
      <c r="J98" s="203"/>
    </row>
    <row r="99" spans="2:12" ht="1.5" hidden="1" customHeight="1">
      <c r="B99" s="201" t="s">
        <v>329</v>
      </c>
      <c r="C99" s="394">
        <v>150</v>
      </c>
      <c r="D99" s="203"/>
      <c r="E99" s="203"/>
      <c r="F99" s="203"/>
      <c r="G99" s="503" t="s">
        <v>181</v>
      </c>
      <c r="H99" s="503"/>
      <c r="I99" s="503" t="s">
        <v>182</v>
      </c>
      <c r="J99" s="503"/>
      <c r="L99" s="229">
        <f>SUM(L100:L103)</f>
        <v>7.4011799999999992</v>
      </c>
    </row>
    <row r="100" spans="2:12" ht="24" customHeight="1">
      <c r="B100" s="201"/>
      <c r="C100" s="394"/>
      <c r="D100" s="501" t="s">
        <v>330</v>
      </c>
      <c r="E100" s="501"/>
      <c r="F100" s="501"/>
      <c r="G100" s="502">
        <f>170*I104/150</f>
        <v>170</v>
      </c>
      <c r="H100" s="502"/>
      <c r="I100" s="502">
        <f>128*I104/150</f>
        <v>128</v>
      </c>
      <c r="J100" s="502"/>
      <c r="K100">
        <v>27</v>
      </c>
      <c r="L100">
        <f>G100*K100/1000</f>
        <v>4.59</v>
      </c>
    </row>
    <row r="101" spans="2:12" ht="0.75" hidden="1" customHeight="1">
      <c r="B101" s="201"/>
      <c r="C101" s="394"/>
      <c r="D101" s="518" t="s">
        <v>26</v>
      </c>
      <c r="E101" s="519"/>
      <c r="F101" s="519"/>
      <c r="G101" s="508">
        <f>24*I104/150</f>
        <v>24</v>
      </c>
      <c r="H101" s="510"/>
      <c r="I101" s="508">
        <f>24*I104/150</f>
        <v>24</v>
      </c>
      <c r="J101" s="510"/>
      <c r="K101">
        <v>48.17</v>
      </c>
      <c r="L101">
        <f t="shared" ref="L101:L103" si="9">G101*K101/1000</f>
        <v>1.15608</v>
      </c>
    </row>
    <row r="102" spans="2:12" ht="16.5" customHeight="1">
      <c r="B102" s="201"/>
      <c r="C102" s="394"/>
      <c r="D102" s="518" t="s">
        <v>20</v>
      </c>
      <c r="E102" s="519"/>
      <c r="F102" s="519"/>
      <c r="G102" s="508">
        <f>3*I104/150</f>
        <v>3</v>
      </c>
      <c r="H102" s="510"/>
      <c r="I102" s="508">
        <f>3*I104/150</f>
        <v>3</v>
      </c>
      <c r="J102" s="510"/>
      <c r="K102">
        <v>550</v>
      </c>
      <c r="L102">
        <f t="shared" si="9"/>
        <v>1.65</v>
      </c>
    </row>
    <row r="103" spans="2:12" ht="0.75" hidden="1" customHeight="1">
      <c r="B103" s="201"/>
      <c r="C103" s="394"/>
      <c r="D103" s="501" t="s">
        <v>94</v>
      </c>
      <c r="E103" s="501"/>
      <c r="F103" s="501"/>
      <c r="G103" s="502">
        <f>0.3*I104/150</f>
        <v>0.3</v>
      </c>
      <c r="H103" s="502"/>
      <c r="I103" s="502">
        <f>0.3*I104/150</f>
        <v>0.3</v>
      </c>
      <c r="J103" s="502"/>
      <c r="K103">
        <v>17</v>
      </c>
      <c r="L103">
        <f t="shared" si="9"/>
        <v>5.0999999999999995E-3</v>
      </c>
    </row>
    <row r="104" spans="2:12">
      <c r="B104" s="201"/>
      <c r="C104" s="394"/>
      <c r="D104" s="520" t="s">
        <v>74</v>
      </c>
      <c r="E104" s="520"/>
      <c r="F104" s="520"/>
      <c r="G104" s="499" t="s">
        <v>30</v>
      </c>
      <c r="H104" s="499"/>
      <c r="I104" s="500">
        <v>150</v>
      </c>
      <c r="J104" s="500"/>
    </row>
    <row r="105" spans="2:12">
      <c r="B105" s="201"/>
      <c r="C105" s="394"/>
      <c r="D105" s="203"/>
      <c r="E105" s="203"/>
      <c r="F105" s="203"/>
      <c r="G105" s="203"/>
      <c r="H105" s="203"/>
      <c r="I105" s="203"/>
      <c r="J105" s="203"/>
    </row>
    <row r="106" spans="2:12">
      <c r="B106" s="201" t="s">
        <v>331</v>
      </c>
      <c r="C106" s="394">
        <v>200</v>
      </c>
      <c r="D106" s="203"/>
      <c r="E106" s="203"/>
      <c r="F106" s="203"/>
      <c r="G106" s="503" t="s">
        <v>181</v>
      </c>
      <c r="H106" s="503"/>
      <c r="I106" s="503" t="s">
        <v>182</v>
      </c>
      <c r="J106" s="503"/>
      <c r="L106" s="229">
        <f>SUM(L107:L109)</f>
        <v>2.7780000000000005</v>
      </c>
    </row>
    <row r="107" spans="2:12">
      <c r="B107" s="201"/>
      <c r="C107" s="394"/>
      <c r="D107" s="501" t="s">
        <v>145</v>
      </c>
      <c r="E107" s="501"/>
      <c r="F107" s="501"/>
      <c r="G107" s="502">
        <f>20*I110/180</f>
        <v>22.222222222222221</v>
      </c>
      <c r="H107" s="502"/>
      <c r="I107" s="502">
        <f>G107</f>
        <v>22.222222222222221</v>
      </c>
      <c r="J107" s="502"/>
      <c r="K107">
        <v>97.51</v>
      </c>
      <c r="L107">
        <f>K107*G107/1000</f>
        <v>2.1668888888888893</v>
      </c>
    </row>
    <row r="108" spans="2:12">
      <c r="B108" s="201"/>
      <c r="C108" s="394"/>
      <c r="D108" s="518" t="s">
        <v>103</v>
      </c>
      <c r="E108" s="519"/>
      <c r="F108" s="519"/>
      <c r="G108" s="508">
        <f>10*I110/180</f>
        <v>11.111111111111111</v>
      </c>
      <c r="H108" s="510"/>
      <c r="I108" s="508">
        <f>G108</f>
        <v>11.111111111111111</v>
      </c>
      <c r="J108" s="510"/>
      <c r="K108">
        <v>55</v>
      </c>
      <c r="L108">
        <f t="shared" ref="L108:L109" si="10">K108*G108/1000</f>
        <v>0.61111111111111105</v>
      </c>
    </row>
    <row r="109" spans="2:12">
      <c r="B109" s="201"/>
      <c r="C109" s="394"/>
      <c r="D109" s="518" t="s">
        <v>27</v>
      </c>
      <c r="E109" s="519"/>
      <c r="F109" s="519"/>
      <c r="G109" s="508">
        <f>180*I110/180</f>
        <v>200</v>
      </c>
      <c r="H109" s="510"/>
      <c r="I109" s="508">
        <f>G109</f>
        <v>200</v>
      </c>
      <c r="J109" s="510"/>
      <c r="L109">
        <f t="shared" si="10"/>
        <v>0</v>
      </c>
    </row>
    <row r="110" spans="2:12">
      <c r="B110" s="201"/>
      <c r="C110" s="394"/>
      <c r="D110" s="520" t="s">
        <v>74</v>
      </c>
      <c r="E110" s="520"/>
      <c r="F110" s="520"/>
      <c r="G110" s="499" t="s">
        <v>30</v>
      </c>
      <c r="H110" s="499"/>
      <c r="I110" s="500">
        <v>200</v>
      </c>
      <c r="J110" s="500"/>
    </row>
    <row r="111" spans="2:12">
      <c r="B111" s="201"/>
      <c r="C111" s="394"/>
      <c r="D111" s="203"/>
      <c r="E111" s="203"/>
      <c r="F111" s="203"/>
      <c r="G111" s="203"/>
      <c r="H111" s="203"/>
      <c r="I111" s="203"/>
      <c r="J111" s="203"/>
    </row>
    <row r="112" spans="2:12">
      <c r="B112" s="201" t="s">
        <v>263</v>
      </c>
      <c r="C112" s="394">
        <v>40</v>
      </c>
      <c r="D112" s="501" t="s">
        <v>263</v>
      </c>
      <c r="E112" s="501"/>
      <c r="F112" s="501"/>
      <c r="G112" s="502">
        <v>40</v>
      </c>
      <c r="H112" s="502"/>
      <c r="I112" s="502">
        <v>40</v>
      </c>
      <c r="J112" s="502"/>
      <c r="K112">
        <v>29.72</v>
      </c>
      <c r="L112" s="229">
        <f>K112/1000*G112</f>
        <v>1.1888000000000001</v>
      </c>
    </row>
    <row r="113" spans="1:12">
      <c r="B113" s="201"/>
      <c r="C113" s="394"/>
      <c r="D113" s="203"/>
      <c r="E113" s="203"/>
      <c r="F113" s="203"/>
      <c r="G113" s="203"/>
      <c r="H113" s="203"/>
      <c r="I113" s="203"/>
      <c r="J113" s="203"/>
    </row>
    <row r="114" spans="1:12">
      <c r="B114" s="201" t="s">
        <v>4</v>
      </c>
      <c r="C114" s="394">
        <v>30</v>
      </c>
      <c r="D114" s="501" t="s">
        <v>4</v>
      </c>
      <c r="E114" s="501"/>
      <c r="F114" s="501"/>
      <c r="G114" s="502">
        <v>30</v>
      </c>
      <c r="H114" s="502"/>
      <c r="I114" s="502">
        <v>30</v>
      </c>
      <c r="J114" s="502"/>
      <c r="K114">
        <v>45.54</v>
      </c>
      <c r="L114" s="229">
        <f>K114/1000*G114</f>
        <v>1.3661999999999999</v>
      </c>
    </row>
    <row r="115" spans="1:12">
      <c r="B115" s="201"/>
      <c r="C115" s="394"/>
      <c r="D115" s="203"/>
      <c r="E115" s="203"/>
      <c r="F115" s="203"/>
      <c r="G115" s="203"/>
      <c r="H115" s="203"/>
      <c r="I115" s="203"/>
      <c r="J115" s="203"/>
    </row>
    <row r="116" spans="1:12">
      <c r="A116" s="42" t="s">
        <v>344</v>
      </c>
      <c r="B116" s="239"/>
      <c r="C116" s="240"/>
      <c r="D116" s="241"/>
      <c r="E116" s="241"/>
      <c r="F116" s="241"/>
      <c r="G116" s="241"/>
      <c r="H116" s="241"/>
      <c r="I116" s="241"/>
      <c r="J116" s="241"/>
      <c r="K116" s="242"/>
      <c r="L116" s="242"/>
    </row>
    <row r="117" spans="1:12">
      <c r="B117" s="201" t="s">
        <v>313</v>
      </c>
      <c r="C117" s="394">
        <v>100</v>
      </c>
      <c r="D117" s="203"/>
      <c r="E117" s="203"/>
      <c r="F117" s="203"/>
      <c r="G117" s="503" t="s">
        <v>181</v>
      </c>
      <c r="H117" s="503"/>
      <c r="I117" s="503" t="s">
        <v>182</v>
      </c>
      <c r="J117" s="503"/>
      <c r="L117" s="204">
        <f>SUM(L118:L121)</f>
        <v>5.0914000000000001</v>
      </c>
    </row>
    <row r="118" spans="1:12" ht="15" customHeight="1">
      <c r="B118" s="201"/>
      <c r="C118" s="394"/>
      <c r="D118" s="501" t="s">
        <v>102</v>
      </c>
      <c r="E118" s="501"/>
      <c r="F118" s="501"/>
      <c r="G118" s="502">
        <v>100</v>
      </c>
      <c r="H118" s="502"/>
      <c r="I118" s="502">
        <v>99</v>
      </c>
      <c r="J118" s="502"/>
      <c r="K118">
        <v>45</v>
      </c>
      <c r="L118" s="4">
        <f t="shared" ref="L118:L121" si="11">K118/1000*G118</f>
        <v>4.5</v>
      </c>
    </row>
    <row r="119" spans="1:12" ht="15" customHeight="1">
      <c r="B119" s="201"/>
      <c r="C119" s="394"/>
      <c r="D119" s="501" t="s">
        <v>314</v>
      </c>
      <c r="E119" s="501"/>
      <c r="F119" s="501"/>
      <c r="G119" s="502">
        <v>14</v>
      </c>
      <c r="H119" s="502"/>
      <c r="I119" s="502">
        <v>10</v>
      </c>
      <c r="J119" s="502"/>
      <c r="K119">
        <v>30</v>
      </c>
      <c r="L119" s="4">
        <f t="shared" si="11"/>
        <v>0.42</v>
      </c>
    </row>
    <row r="120" spans="1:12" ht="15" customHeight="1">
      <c r="B120" s="201"/>
      <c r="C120" s="394"/>
      <c r="D120" s="501" t="s">
        <v>81</v>
      </c>
      <c r="E120" s="501"/>
      <c r="F120" s="501"/>
      <c r="G120" s="502">
        <v>1.2</v>
      </c>
      <c r="H120" s="502"/>
      <c r="I120" s="502">
        <v>1.2</v>
      </c>
      <c r="J120" s="502"/>
      <c r="K120">
        <v>140</v>
      </c>
      <c r="L120" s="4">
        <f t="shared" si="11"/>
        <v>0.16800000000000001</v>
      </c>
    </row>
    <row r="121" spans="1:12" ht="15" customHeight="1">
      <c r="B121" s="201" t="s">
        <v>315</v>
      </c>
      <c r="C121" s="394"/>
      <c r="D121" s="518" t="s">
        <v>94</v>
      </c>
      <c r="E121" s="519"/>
      <c r="F121" s="519"/>
      <c r="G121" s="508">
        <f>0.2*I122/60</f>
        <v>0.2</v>
      </c>
      <c r="H121" s="510"/>
      <c r="I121" s="508">
        <f>G121</f>
        <v>0.2</v>
      </c>
      <c r="J121" s="510"/>
      <c r="K121">
        <v>17</v>
      </c>
      <c r="L121" s="4">
        <f t="shared" si="11"/>
        <v>3.4000000000000002E-3</v>
      </c>
    </row>
    <row r="122" spans="1:12">
      <c r="B122" s="201"/>
      <c r="C122" s="394"/>
      <c r="D122" s="520" t="s">
        <v>74</v>
      </c>
      <c r="E122" s="520"/>
      <c r="F122" s="520"/>
      <c r="G122" s="499" t="s">
        <v>30</v>
      </c>
      <c r="H122" s="499"/>
      <c r="I122" s="500">
        <v>60</v>
      </c>
      <c r="J122" s="500"/>
    </row>
    <row r="123" spans="1:12">
      <c r="B123" s="201"/>
      <c r="C123" s="394"/>
      <c r="D123" s="384"/>
      <c r="E123" s="384"/>
      <c r="F123" s="384"/>
      <c r="G123" s="385"/>
      <c r="H123" s="385"/>
      <c r="I123" s="386"/>
      <c r="J123" s="386"/>
    </row>
    <row r="124" spans="1:12">
      <c r="B124" s="208" t="s">
        <v>316</v>
      </c>
      <c r="C124" s="394">
        <v>100</v>
      </c>
      <c r="D124" s="384"/>
      <c r="E124" s="384"/>
      <c r="F124" s="384"/>
      <c r="G124" s="385"/>
      <c r="H124" s="385"/>
      <c r="I124" s="386"/>
      <c r="J124" s="386"/>
      <c r="L124" s="204">
        <f>SUM(L125:L129)</f>
        <v>13.223399999999998</v>
      </c>
    </row>
    <row r="125" spans="1:12">
      <c r="B125" s="201"/>
      <c r="C125" s="394"/>
      <c r="D125" s="424" t="s">
        <v>317</v>
      </c>
      <c r="E125" s="422"/>
      <c r="F125" s="422"/>
      <c r="G125" s="423">
        <v>69.42</v>
      </c>
      <c r="H125" s="394"/>
      <c r="I125" s="423">
        <v>48.6</v>
      </c>
      <c r="J125" s="386"/>
      <c r="K125">
        <v>180</v>
      </c>
      <c r="L125" s="4">
        <f t="shared" ref="L125:L129" si="12">K125/1000*G125</f>
        <v>12.4956</v>
      </c>
    </row>
    <row r="126" spans="1:12">
      <c r="B126" s="201"/>
      <c r="C126" s="394"/>
      <c r="D126" s="424" t="s">
        <v>98</v>
      </c>
      <c r="E126" s="422"/>
      <c r="F126" s="422"/>
      <c r="G126" s="423">
        <v>7.5</v>
      </c>
      <c r="H126" s="394"/>
      <c r="I126" s="423">
        <v>6</v>
      </c>
      <c r="J126" s="386"/>
      <c r="L126" s="4">
        <f t="shared" si="12"/>
        <v>0</v>
      </c>
    </row>
    <row r="127" spans="1:12">
      <c r="B127" s="201"/>
      <c r="C127" s="394"/>
      <c r="D127" s="424" t="s">
        <v>99</v>
      </c>
      <c r="E127" s="422"/>
      <c r="F127" s="422"/>
      <c r="G127" s="423">
        <v>7.14</v>
      </c>
      <c r="H127" s="394"/>
      <c r="I127" s="423">
        <v>6</v>
      </c>
      <c r="J127" s="386"/>
      <c r="K127">
        <v>20</v>
      </c>
      <c r="L127" s="4">
        <f t="shared" si="12"/>
        <v>0.14280000000000001</v>
      </c>
    </row>
    <row r="128" spans="1:12">
      <c r="B128" s="201"/>
      <c r="C128" s="394"/>
      <c r="D128" s="424" t="s">
        <v>28</v>
      </c>
      <c r="E128" s="422"/>
      <c r="F128" s="422"/>
      <c r="G128" s="423">
        <v>3</v>
      </c>
      <c r="H128" s="394"/>
      <c r="I128" s="423">
        <v>3</v>
      </c>
      <c r="J128" s="386"/>
      <c r="K128">
        <v>55</v>
      </c>
      <c r="L128" s="4">
        <f t="shared" si="12"/>
        <v>0.16500000000000001</v>
      </c>
    </row>
    <row r="129" spans="1:12">
      <c r="B129" s="201"/>
      <c r="C129" s="394"/>
      <c r="D129" s="424" t="s">
        <v>81</v>
      </c>
      <c r="E129" s="422"/>
      <c r="F129" s="422"/>
      <c r="G129" s="423">
        <v>3</v>
      </c>
      <c r="H129" s="394"/>
      <c r="I129" s="423">
        <v>3</v>
      </c>
      <c r="J129" s="386"/>
      <c r="K129">
        <v>140</v>
      </c>
      <c r="L129" s="4">
        <f t="shared" si="12"/>
        <v>0.42000000000000004</v>
      </c>
    </row>
    <row r="130" spans="1:12">
      <c r="B130" s="201"/>
      <c r="C130" s="394"/>
      <c r="D130" s="322" t="s">
        <v>21</v>
      </c>
      <c r="E130" s="422"/>
      <c r="F130" s="422"/>
      <c r="G130" s="528">
        <v>60</v>
      </c>
      <c r="H130" s="528"/>
      <c r="I130" s="421"/>
      <c r="J130" s="386"/>
    </row>
    <row r="131" spans="1:12">
      <c r="B131" s="201"/>
      <c r="C131" s="394"/>
      <c r="D131" s="203"/>
      <c r="E131" s="203"/>
      <c r="F131" s="203"/>
      <c r="G131" s="203"/>
      <c r="H131" s="203"/>
      <c r="I131" s="203"/>
      <c r="J131" s="203"/>
    </row>
    <row r="132" spans="1:12">
      <c r="B132" s="210" t="s">
        <v>318</v>
      </c>
      <c r="C132" s="394">
        <v>250</v>
      </c>
      <c r="D132" s="203"/>
      <c r="E132" s="203"/>
      <c r="F132" s="203"/>
      <c r="G132" s="503" t="s">
        <v>181</v>
      </c>
      <c r="H132" s="503"/>
      <c r="I132" s="503" t="s">
        <v>182</v>
      </c>
      <c r="J132" s="503"/>
      <c r="L132" s="204">
        <f>SUM(L133:L139)</f>
        <v>3.1101999999999999</v>
      </c>
    </row>
    <row r="133" spans="1:12">
      <c r="B133" s="201"/>
      <c r="C133" s="394"/>
      <c r="D133" s="511" t="s">
        <v>84</v>
      </c>
      <c r="E133" s="511"/>
      <c r="F133" s="511"/>
      <c r="G133" s="542">
        <v>53.4</v>
      </c>
      <c r="H133" s="543"/>
      <c r="I133" s="542">
        <v>40</v>
      </c>
      <c r="J133" s="543"/>
      <c r="K133">
        <v>27</v>
      </c>
      <c r="L133" s="4">
        <f t="shared" ref="L133:L138" si="13">K133/1000*G133</f>
        <v>1.4418</v>
      </c>
    </row>
    <row r="134" spans="1:12">
      <c r="A134" s="13"/>
      <c r="B134" s="201"/>
      <c r="C134" s="394"/>
      <c r="D134" s="511" t="s">
        <v>100</v>
      </c>
      <c r="E134" s="511"/>
      <c r="F134" s="511"/>
      <c r="G134" s="516">
        <v>16.2</v>
      </c>
      <c r="H134" s="517"/>
      <c r="I134" s="516">
        <v>16</v>
      </c>
      <c r="J134" s="517"/>
      <c r="K134">
        <v>37</v>
      </c>
      <c r="L134" s="4">
        <f t="shared" si="13"/>
        <v>0.59939999999999993</v>
      </c>
    </row>
    <row r="135" spans="1:12">
      <c r="B135" s="201"/>
      <c r="C135" s="394"/>
      <c r="D135" s="511" t="s">
        <v>85</v>
      </c>
      <c r="E135" s="511"/>
      <c r="F135" s="511"/>
      <c r="G135" s="516">
        <v>10</v>
      </c>
      <c r="H135" s="517"/>
      <c r="I135" s="516">
        <v>8</v>
      </c>
      <c r="J135" s="517"/>
      <c r="K135">
        <v>30</v>
      </c>
      <c r="L135" s="4">
        <f t="shared" si="13"/>
        <v>0.3</v>
      </c>
    </row>
    <row r="136" spans="1:12">
      <c r="B136" s="201"/>
      <c r="C136" s="394"/>
      <c r="D136" s="511" t="s">
        <v>86</v>
      </c>
      <c r="E136" s="511"/>
      <c r="F136" s="511"/>
      <c r="G136" s="516">
        <v>9.6</v>
      </c>
      <c r="H136" s="517"/>
      <c r="I136" s="516">
        <v>8</v>
      </c>
      <c r="J136" s="517"/>
      <c r="K136">
        <v>20</v>
      </c>
      <c r="L136" s="4">
        <f t="shared" si="13"/>
        <v>0.192</v>
      </c>
    </row>
    <row r="137" spans="1:12">
      <c r="B137" s="201"/>
      <c r="C137" s="394"/>
      <c r="D137" s="511" t="s">
        <v>81</v>
      </c>
      <c r="E137" s="511"/>
      <c r="F137" s="511"/>
      <c r="G137" s="516">
        <v>4</v>
      </c>
      <c r="H137" s="517"/>
      <c r="I137" s="516">
        <v>4</v>
      </c>
      <c r="J137" s="517"/>
      <c r="K137">
        <v>140</v>
      </c>
      <c r="L137" s="4">
        <f t="shared" si="13"/>
        <v>0.56000000000000005</v>
      </c>
    </row>
    <row r="138" spans="1:12">
      <c r="B138" s="201"/>
      <c r="C138" s="394"/>
      <c r="D138" s="511" t="s">
        <v>221</v>
      </c>
      <c r="E138" s="511"/>
      <c r="F138" s="511"/>
      <c r="G138" s="516">
        <v>1</v>
      </c>
      <c r="H138" s="517"/>
      <c r="I138" s="516">
        <v>1</v>
      </c>
      <c r="J138" s="517"/>
      <c r="K138">
        <v>17</v>
      </c>
      <c r="L138" s="4">
        <f t="shared" si="13"/>
        <v>1.7000000000000001E-2</v>
      </c>
    </row>
    <row r="139" spans="1:12">
      <c r="B139" s="201"/>
      <c r="C139" s="394"/>
      <c r="D139" s="511" t="s">
        <v>319</v>
      </c>
      <c r="E139" s="511"/>
      <c r="F139" s="511"/>
      <c r="G139" s="508">
        <v>200</v>
      </c>
      <c r="H139" s="509"/>
      <c r="I139" s="509"/>
      <c r="J139" s="510"/>
      <c r="L139" s="4"/>
    </row>
    <row r="140" spans="1:12">
      <c r="B140" s="201"/>
      <c r="C140" s="394"/>
      <c r="D140" s="203"/>
      <c r="E140" s="203"/>
      <c r="F140" s="203"/>
      <c r="G140" s="203"/>
      <c r="H140" s="203"/>
      <c r="I140" s="203"/>
      <c r="J140" s="203"/>
    </row>
    <row r="141" spans="1:12">
      <c r="B141" s="212" t="s">
        <v>218</v>
      </c>
      <c r="C141" s="208">
        <v>100</v>
      </c>
      <c r="D141" s="213"/>
      <c r="E141" s="213"/>
      <c r="F141" s="213"/>
      <c r="G141" s="503" t="s">
        <v>181</v>
      </c>
      <c r="H141" s="503"/>
      <c r="I141" s="503" t="s">
        <v>182</v>
      </c>
      <c r="J141" s="503"/>
      <c r="K141" s="4"/>
      <c r="L141" s="214">
        <f>SUM(L142:L150)</f>
        <v>37.251000000000005</v>
      </c>
    </row>
    <row r="142" spans="1:12">
      <c r="B142" s="215"/>
      <c r="C142" s="208"/>
      <c r="D142" s="512"/>
      <c r="E142" s="513"/>
      <c r="F142" s="513"/>
      <c r="G142" s="502"/>
      <c r="H142" s="502"/>
      <c r="I142" s="217"/>
      <c r="J142" s="218"/>
      <c r="K142" s="4"/>
      <c r="L142" s="4">
        <f>K142/1000*G142</f>
        <v>0</v>
      </c>
    </row>
    <row r="143" spans="1:12">
      <c r="B143" s="215"/>
      <c r="C143" s="208"/>
      <c r="D143" s="504" t="s">
        <v>219</v>
      </c>
      <c r="E143" s="505"/>
      <c r="F143" s="505"/>
      <c r="G143" s="514">
        <v>127.8</v>
      </c>
      <c r="H143" s="515"/>
      <c r="I143" s="506">
        <v>91.8</v>
      </c>
      <c r="J143" s="507"/>
      <c r="K143" s="4">
        <v>270</v>
      </c>
      <c r="L143" s="4">
        <f t="shared" ref="L143:L150" si="14">K143/1000*G143</f>
        <v>34.506</v>
      </c>
    </row>
    <row r="144" spans="1:12">
      <c r="B144" s="215"/>
      <c r="C144" s="208"/>
      <c r="D144" s="504" t="s">
        <v>81</v>
      </c>
      <c r="E144" s="505"/>
      <c r="F144" s="505"/>
      <c r="G144" s="506">
        <v>10.8</v>
      </c>
      <c r="H144" s="507"/>
      <c r="I144" s="506">
        <v>10.8</v>
      </c>
      <c r="J144" s="507"/>
      <c r="K144" s="4">
        <v>140</v>
      </c>
      <c r="L144" s="4">
        <f t="shared" si="14"/>
        <v>1.5120000000000002</v>
      </c>
    </row>
    <row r="145" spans="2:12">
      <c r="B145" s="215"/>
      <c r="C145" s="208"/>
      <c r="D145" s="504" t="s">
        <v>171</v>
      </c>
      <c r="E145" s="505"/>
      <c r="F145" s="505"/>
      <c r="G145" s="506">
        <v>16.2</v>
      </c>
      <c r="H145" s="507"/>
      <c r="I145" s="506">
        <v>16.2</v>
      </c>
      <c r="J145" s="507"/>
      <c r="K145" s="4">
        <v>20</v>
      </c>
      <c r="L145" s="4">
        <f t="shared" si="14"/>
        <v>0.32400000000000001</v>
      </c>
    </row>
    <row r="146" spans="2:12">
      <c r="B146" s="215"/>
      <c r="C146" s="208"/>
      <c r="D146" s="504" t="s">
        <v>111</v>
      </c>
      <c r="E146" s="505"/>
      <c r="F146" s="505"/>
      <c r="G146" s="506">
        <v>5.4</v>
      </c>
      <c r="H146" s="507"/>
      <c r="I146" s="506">
        <v>5.4</v>
      </c>
      <c r="J146" s="507"/>
      <c r="K146" s="4">
        <v>37</v>
      </c>
      <c r="L146" s="4">
        <f t="shared" si="14"/>
        <v>0.19980000000000001</v>
      </c>
    </row>
    <row r="147" spans="2:12">
      <c r="B147" s="215"/>
      <c r="C147" s="208"/>
      <c r="D147" s="504" t="s">
        <v>220</v>
      </c>
      <c r="E147" s="505"/>
      <c r="F147" s="505"/>
      <c r="G147" s="506">
        <v>5.4</v>
      </c>
      <c r="H147" s="507"/>
      <c r="I147" s="506">
        <v>5.4</v>
      </c>
      <c r="J147" s="507"/>
      <c r="K147" s="4">
        <v>120</v>
      </c>
      <c r="L147" s="4">
        <f t="shared" si="14"/>
        <v>0.64800000000000002</v>
      </c>
    </row>
    <row r="148" spans="2:12">
      <c r="B148" s="215"/>
      <c r="C148" s="208"/>
      <c r="D148" s="504" t="s">
        <v>221</v>
      </c>
      <c r="E148" s="505"/>
      <c r="F148" s="505"/>
      <c r="G148" s="506">
        <v>3.6</v>
      </c>
      <c r="H148" s="507"/>
      <c r="I148" s="506">
        <v>3.6</v>
      </c>
      <c r="J148" s="507"/>
      <c r="K148" s="4">
        <v>17</v>
      </c>
      <c r="L148" s="4">
        <f t="shared" si="14"/>
        <v>6.1200000000000004E-2</v>
      </c>
    </row>
    <row r="149" spans="2:12">
      <c r="B149" s="215"/>
      <c r="C149" s="208"/>
      <c r="D149" s="504" t="s">
        <v>21</v>
      </c>
      <c r="E149" s="505"/>
      <c r="F149" s="505"/>
      <c r="G149" s="508">
        <v>90</v>
      </c>
      <c r="H149" s="509"/>
      <c r="I149" s="509"/>
      <c r="J149" s="510"/>
      <c r="K149" s="4"/>
      <c r="L149" s="4">
        <f t="shared" si="14"/>
        <v>0</v>
      </c>
    </row>
    <row r="150" spans="2:12">
      <c r="B150" s="215"/>
      <c r="C150" s="208"/>
      <c r="D150" s="219"/>
      <c r="E150" s="220"/>
      <c r="F150" s="220"/>
      <c r="G150" s="508"/>
      <c r="H150" s="510"/>
      <c r="I150" s="508"/>
      <c r="J150" s="510"/>
      <c r="K150" s="4"/>
      <c r="L150" s="4">
        <f t="shared" si="14"/>
        <v>0</v>
      </c>
    </row>
    <row r="151" spans="2:12">
      <c r="B151" s="215"/>
      <c r="C151" s="208"/>
      <c r="D151" s="221"/>
      <c r="E151" s="222"/>
      <c r="F151" s="222"/>
      <c r="G151" s="499"/>
      <c r="H151" s="499"/>
      <c r="I151" s="500"/>
      <c r="J151" s="500"/>
    </row>
    <row r="152" spans="2:12">
      <c r="B152" s="201"/>
      <c r="C152" s="394"/>
      <c r="D152" s="203"/>
      <c r="E152" s="203"/>
      <c r="F152" s="203"/>
      <c r="G152" s="203"/>
      <c r="H152" s="203"/>
      <c r="I152" s="203"/>
      <c r="J152" s="203"/>
    </row>
    <row r="153" spans="2:12">
      <c r="B153" s="215" t="s">
        <v>222</v>
      </c>
      <c r="C153" s="208">
        <v>180</v>
      </c>
      <c r="D153" s="213"/>
      <c r="E153" s="213"/>
      <c r="F153" s="213"/>
      <c r="G153" s="503" t="s">
        <v>181</v>
      </c>
      <c r="H153" s="503"/>
      <c r="I153" s="503" t="s">
        <v>182</v>
      </c>
      <c r="J153" s="503"/>
      <c r="K153" s="4"/>
      <c r="L153" s="214">
        <f>SUM(L154:L156)</f>
        <v>5.0651000000000002</v>
      </c>
    </row>
    <row r="154" spans="2:12">
      <c r="B154" s="201"/>
      <c r="C154" s="394"/>
      <c r="D154" s="501" t="s">
        <v>105</v>
      </c>
      <c r="E154" s="501"/>
      <c r="F154" s="501"/>
      <c r="G154" s="502">
        <v>62</v>
      </c>
      <c r="H154" s="502"/>
      <c r="I154" s="502">
        <v>62</v>
      </c>
      <c r="J154" s="502"/>
      <c r="K154" s="4">
        <v>55</v>
      </c>
      <c r="L154" s="4">
        <f>G154*K154/1000</f>
        <v>3.41</v>
      </c>
    </row>
    <row r="155" spans="2:12">
      <c r="B155" s="201"/>
      <c r="C155" s="394"/>
      <c r="D155" s="501" t="s">
        <v>94</v>
      </c>
      <c r="E155" s="501"/>
      <c r="F155" s="501"/>
      <c r="G155" s="502">
        <v>0.3</v>
      </c>
      <c r="H155" s="502"/>
      <c r="I155" s="502">
        <v>0.3</v>
      </c>
      <c r="J155" s="502"/>
      <c r="K155" s="4">
        <v>17</v>
      </c>
      <c r="L155" s="4">
        <f>G155*K155/1000</f>
        <v>5.0999999999999995E-3</v>
      </c>
    </row>
    <row r="156" spans="2:12">
      <c r="B156" s="201"/>
      <c r="C156" s="394"/>
      <c r="D156" s="501" t="s">
        <v>20</v>
      </c>
      <c r="E156" s="501"/>
      <c r="F156" s="501"/>
      <c r="G156" s="502">
        <v>3</v>
      </c>
      <c r="H156" s="502"/>
      <c r="I156" s="502">
        <v>3</v>
      </c>
      <c r="J156" s="502"/>
      <c r="K156" s="4">
        <v>550</v>
      </c>
      <c r="L156" s="4">
        <f>G156*K156/1000</f>
        <v>1.65</v>
      </c>
    </row>
    <row r="157" spans="2:12">
      <c r="B157" s="201"/>
      <c r="C157" s="394"/>
      <c r="D157" s="520" t="s">
        <v>74</v>
      </c>
      <c r="E157" s="520"/>
      <c r="F157" s="520"/>
      <c r="G157" s="499" t="s">
        <v>30</v>
      </c>
      <c r="H157" s="499"/>
      <c r="I157" s="500">
        <v>150</v>
      </c>
      <c r="J157" s="500"/>
      <c r="K157" s="44"/>
      <c r="L157" s="44"/>
    </row>
    <row r="158" spans="2:12">
      <c r="B158" s="201"/>
      <c r="C158" s="394"/>
      <c r="D158" s="213"/>
      <c r="E158" s="213"/>
      <c r="F158" s="213"/>
      <c r="G158" s="203"/>
      <c r="H158" s="203"/>
      <c r="I158" s="203"/>
      <c r="J158" s="203"/>
    </row>
    <row r="159" spans="2:12">
      <c r="B159" s="201" t="s">
        <v>5</v>
      </c>
      <c r="C159" s="394">
        <v>200</v>
      </c>
      <c r="D159" s="203"/>
      <c r="E159" s="203"/>
      <c r="F159" s="203"/>
      <c r="G159" s="503" t="s">
        <v>181</v>
      </c>
      <c r="H159" s="503"/>
      <c r="I159" s="503" t="s">
        <v>182</v>
      </c>
      <c r="J159" s="503"/>
      <c r="L159" s="204">
        <f>L160+L161+L162</f>
        <v>2.2000000000000002</v>
      </c>
    </row>
    <row r="160" spans="2:12">
      <c r="B160" s="201"/>
      <c r="C160" s="394"/>
      <c r="D160" s="501" t="s">
        <v>157</v>
      </c>
      <c r="E160" s="501"/>
      <c r="F160" s="501"/>
      <c r="G160" s="502">
        <v>0.6</v>
      </c>
      <c r="H160" s="502"/>
      <c r="I160" s="502">
        <v>0.6</v>
      </c>
      <c r="J160" s="502"/>
      <c r="K160">
        <v>500</v>
      </c>
      <c r="L160" s="4">
        <f t="shared" ref="L160:L162" si="15">K160/1000*G160</f>
        <v>0.3</v>
      </c>
    </row>
    <row r="161" spans="1:12">
      <c r="B161" s="201"/>
      <c r="C161" s="394"/>
      <c r="D161" s="518" t="s">
        <v>103</v>
      </c>
      <c r="E161" s="519"/>
      <c r="F161" s="519"/>
      <c r="G161" s="508">
        <v>15</v>
      </c>
      <c r="H161" s="510"/>
      <c r="I161" s="508">
        <v>15</v>
      </c>
      <c r="J161" s="510"/>
      <c r="K161">
        <v>55</v>
      </c>
      <c r="L161" s="4">
        <f t="shared" si="15"/>
        <v>0.82499999999999996</v>
      </c>
    </row>
    <row r="162" spans="1:12">
      <c r="B162" s="201"/>
      <c r="C162" s="394"/>
      <c r="D162" s="518" t="s">
        <v>172</v>
      </c>
      <c r="E162" s="519"/>
      <c r="F162" s="519"/>
      <c r="G162" s="508">
        <v>5</v>
      </c>
      <c r="H162" s="510"/>
      <c r="I162" s="508">
        <v>4</v>
      </c>
      <c r="J162" s="510"/>
      <c r="K162">
        <v>215</v>
      </c>
      <c r="L162" s="4">
        <f t="shared" si="15"/>
        <v>1.075</v>
      </c>
    </row>
    <row r="163" spans="1:12">
      <c r="B163" s="201"/>
      <c r="C163" s="394"/>
      <c r="D163" s="520" t="s">
        <v>74</v>
      </c>
      <c r="E163" s="520"/>
      <c r="F163" s="520"/>
      <c r="G163" s="499" t="s">
        <v>30</v>
      </c>
      <c r="H163" s="499"/>
      <c r="I163" s="499" t="s">
        <v>223</v>
      </c>
      <c r="J163" s="499"/>
    </row>
    <row r="164" spans="1:12">
      <c r="B164" s="201"/>
      <c r="C164" s="394"/>
      <c r="D164" s="203"/>
      <c r="E164" s="203"/>
      <c r="F164" s="203"/>
      <c r="G164" s="203"/>
      <c r="H164" s="203"/>
      <c r="I164" s="203"/>
      <c r="J164" s="203"/>
    </row>
    <row r="165" spans="1:12">
      <c r="B165" s="201" t="s">
        <v>263</v>
      </c>
      <c r="C165" s="394">
        <v>40</v>
      </c>
      <c r="D165" s="501" t="s">
        <v>263</v>
      </c>
      <c r="E165" s="501"/>
      <c r="F165" s="501"/>
      <c r="G165" s="502">
        <v>40</v>
      </c>
      <c r="H165" s="502"/>
      <c r="I165" s="502">
        <v>40</v>
      </c>
      <c r="J165" s="502"/>
      <c r="K165">
        <v>29.72</v>
      </c>
      <c r="L165" s="204">
        <f>K165/1000*G165</f>
        <v>1.1888000000000001</v>
      </c>
    </row>
    <row r="166" spans="1:12">
      <c r="B166" s="201"/>
      <c r="C166" s="394"/>
      <c r="D166" s="203"/>
      <c r="E166" s="203"/>
      <c r="F166" s="203"/>
      <c r="G166" s="203"/>
      <c r="H166" s="203"/>
      <c r="I166" s="203"/>
      <c r="J166" s="203"/>
    </row>
    <row r="167" spans="1:12">
      <c r="B167" s="201" t="s">
        <v>4</v>
      </c>
      <c r="C167" s="394">
        <v>30</v>
      </c>
      <c r="D167" s="501" t="s">
        <v>4</v>
      </c>
      <c r="E167" s="501"/>
      <c r="F167" s="501"/>
      <c r="G167" s="502">
        <v>30</v>
      </c>
      <c r="H167" s="502"/>
      <c r="I167" s="502">
        <v>30</v>
      </c>
      <c r="J167" s="502"/>
      <c r="K167">
        <v>45.54</v>
      </c>
      <c r="L167" s="204">
        <f>K167/1000*G167</f>
        <v>1.3661999999999999</v>
      </c>
    </row>
    <row r="168" spans="1:12">
      <c r="A168" s="241" t="s">
        <v>349</v>
      </c>
      <c r="B168" s="241"/>
      <c r="C168" s="241"/>
      <c r="D168" s="240"/>
      <c r="E168" s="241"/>
      <c r="F168" s="241"/>
      <c r="G168" s="241"/>
      <c r="H168" s="241"/>
      <c r="I168" s="241"/>
      <c r="J168" s="241"/>
      <c r="K168" s="241"/>
      <c r="L168" s="241"/>
    </row>
    <row r="169" spans="1:12">
      <c r="A169" s="253"/>
      <c r="B169" s="253" t="s">
        <v>345</v>
      </c>
      <c r="C169" s="201"/>
      <c r="D169" s="203"/>
      <c r="E169" s="203"/>
      <c r="F169" s="203"/>
      <c r="G169" s="203"/>
      <c r="H169" s="347" t="s">
        <v>181</v>
      </c>
      <c r="I169" s="347"/>
      <c r="J169" s="347" t="s">
        <v>182</v>
      </c>
      <c r="K169" s="347"/>
    </row>
    <row r="170" spans="1:12">
      <c r="A170" s="203"/>
      <c r="B170" s="201" t="s">
        <v>268</v>
      </c>
      <c r="C170" s="394"/>
      <c r="D170" s="203"/>
      <c r="E170" s="203"/>
      <c r="F170" s="203"/>
      <c r="G170" s="347" t="s">
        <v>181</v>
      </c>
      <c r="H170" s="347"/>
      <c r="I170" s="347" t="s">
        <v>182</v>
      </c>
      <c r="J170" s="347"/>
      <c r="L170" s="254">
        <f>SUM(L171:L173)</f>
        <v>3.1055000000000001</v>
      </c>
    </row>
    <row r="171" spans="1:12">
      <c r="A171" s="203"/>
      <c r="B171" s="201"/>
      <c r="C171" s="394">
        <v>100</v>
      </c>
      <c r="D171" s="348" t="s">
        <v>116</v>
      </c>
      <c r="E171" s="348"/>
      <c r="F171" s="348"/>
      <c r="G171" s="349">
        <v>76</v>
      </c>
      <c r="H171" s="349"/>
      <c r="I171" s="349">
        <v>57</v>
      </c>
      <c r="J171" s="349"/>
      <c r="K171">
        <v>35</v>
      </c>
      <c r="L171">
        <f>G171*K171/1000</f>
        <v>2.66</v>
      </c>
    </row>
    <row r="172" spans="1:12">
      <c r="A172" s="203"/>
      <c r="B172" s="201"/>
      <c r="C172" s="394"/>
      <c r="D172" s="348" t="s">
        <v>94</v>
      </c>
      <c r="E172" s="348"/>
      <c r="F172" s="348"/>
      <c r="G172" s="349">
        <v>1.5</v>
      </c>
      <c r="H172" s="349"/>
      <c r="I172" s="349">
        <v>1.5</v>
      </c>
      <c r="J172" s="349"/>
      <c r="K172">
        <v>17</v>
      </c>
      <c r="L172">
        <f t="shared" ref="L172:L173" si="16">G172*K172/1000</f>
        <v>2.5499999999999998E-2</v>
      </c>
    </row>
    <row r="173" spans="1:12">
      <c r="A173" s="203"/>
      <c r="B173" s="201"/>
      <c r="C173" s="394"/>
      <c r="D173" s="348" t="s">
        <v>81</v>
      </c>
      <c r="E173" s="348"/>
      <c r="F173" s="348"/>
      <c r="G173" s="349">
        <v>3</v>
      </c>
      <c r="H173" s="349"/>
      <c r="I173" s="349">
        <v>3</v>
      </c>
      <c r="J173" s="349"/>
      <c r="K173">
        <v>140</v>
      </c>
      <c r="L173">
        <f t="shared" si="16"/>
        <v>0.42</v>
      </c>
    </row>
    <row r="174" spans="1:12">
      <c r="A174" s="203"/>
      <c r="B174" s="201"/>
      <c r="C174" s="394"/>
      <c r="D174" s="354" t="s">
        <v>74</v>
      </c>
      <c r="E174" s="354"/>
      <c r="F174" s="354"/>
      <c r="G174" s="355" t="s">
        <v>30</v>
      </c>
      <c r="H174" s="355"/>
      <c r="I174" s="356">
        <v>60</v>
      </c>
      <c r="J174" s="356"/>
    </row>
    <row r="175" spans="1:12">
      <c r="A175" s="203"/>
      <c r="B175" s="201"/>
      <c r="C175" s="394"/>
      <c r="D175" s="203"/>
      <c r="E175" s="203"/>
      <c r="F175" s="203"/>
      <c r="G175" s="203"/>
      <c r="H175" s="203"/>
      <c r="I175" s="203"/>
      <c r="J175" s="203"/>
    </row>
    <row r="176" spans="1:12">
      <c r="A176" s="203"/>
      <c r="B176" s="208" t="s">
        <v>283</v>
      </c>
      <c r="C176" s="394">
        <v>250</v>
      </c>
      <c r="D176" s="203"/>
      <c r="E176" s="203"/>
      <c r="F176" s="203"/>
      <c r="G176" s="368" t="s">
        <v>181</v>
      </c>
      <c r="H176" s="347"/>
      <c r="I176" s="368" t="s">
        <v>182</v>
      </c>
      <c r="J176" s="347"/>
      <c r="L176" s="254">
        <f>SUM(L177:L187)</f>
        <v>3.0303999999999998</v>
      </c>
    </row>
    <row r="177" spans="1:12">
      <c r="A177" s="203"/>
      <c r="B177" s="201"/>
      <c r="C177" s="394"/>
      <c r="D177" s="247" t="s">
        <v>84</v>
      </c>
      <c r="E177" s="216"/>
      <c r="F177" s="216"/>
      <c r="G177" s="357">
        <v>75</v>
      </c>
      <c r="H177" s="233"/>
      <c r="I177" s="357">
        <v>60</v>
      </c>
      <c r="J177" s="234"/>
      <c r="K177">
        <v>27</v>
      </c>
      <c r="L177">
        <f>K177*G177/1000</f>
        <v>2.0249999999999999</v>
      </c>
    </row>
    <row r="178" spans="1:12">
      <c r="A178" s="203"/>
      <c r="B178" s="201"/>
      <c r="C178" s="394"/>
      <c r="D178" s="247" t="s">
        <v>85</v>
      </c>
      <c r="E178" s="211"/>
      <c r="F178" s="211"/>
      <c r="G178" s="357">
        <v>10</v>
      </c>
      <c r="H178" s="235"/>
      <c r="I178" s="357">
        <v>8</v>
      </c>
      <c r="J178" s="236"/>
      <c r="K178">
        <v>30</v>
      </c>
      <c r="L178">
        <f t="shared" ref="L178:L187" si="17">K178*G178/1000</f>
        <v>0.3</v>
      </c>
    </row>
    <row r="179" spans="1:12">
      <c r="A179" s="203"/>
      <c r="B179" s="201"/>
      <c r="C179" s="394"/>
      <c r="D179" s="247" t="s">
        <v>86</v>
      </c>
      <c r="E179" s="211"/>
      <c r="F179" s="211"/>
      <c r="G179" s="357">
        <v>9.5</v>
      </c>
      <c r="H179" s="235"/>
      <c r="I179" s="357">
        <v>8</v>
      </c>
      <c r="J179" s="236"/>
      <c r="K179">
        <v>20</v>
      </c>
      <c r="L179">
        <f t="shared" si="17"/>
        <v>0.19</v>
      </c>
    </row>
    <row r="180" spans="1:12">
      <c r="A180" s="203"/>
      <c r="B180" s="201"/>
      <c r="C180" s="394"/>
      <c r="D180" s="247" t="s">
        <v>81</v>
      </c>
      <c r="E180" s="211"/>
      <c r="F180" s="211"/>
      <c r="G180" s="256">
        <v>2.4</v>
      </c>
      <c r="H180" s="235"/>
      <c r="I180" s="256">
        <v>2.4</v>
      </c>
      <c r="J180" s="236"/>
      <c r="K180">
        <v>140</v>
      </c>
      <c r="L180">
        <f t="shared" si="17"/>
        <v>0.33600000000000002</v>
      </c>
    </row>
    <row r="181" spans="1:12">
      <c r="A181" s="203"/>
      <c r="B181" s="201"/>
      <c r="C181" s="394"/>
      <c r="D181" s="247" t="s">
        <v>25</v>
      </c>
      <c r="E181" s="211"/>
      <c r="F181" s="211"/>
      <c r="G181" s="357">
        <v>4</v>
      </c>
      <c r="H181" s="211"/>
      <c r="I181" s="357">
        <v>4</v>
      </c>
      <c r="J181" s="236"/>
      <c r="L181">
        <f t="shared" si="17"/>
        <v>0</v>
      </c>
    </row>
    <row r="182" spans="1:12">
      <c r="A182" s="203"/>
      <c r="B182" s="201"/>
      <c r="C182" s="394"/>
      <c r="D182" s="247" t="s">
        <v>346</v>
      </c>
      <c r="E182" s="211"/>
      <c r="F182" s="211"/>
      <c r="G182" s="357">
        <v>4</v>
      </c>
      <c r="H182" s="235"/>
      <c r="I182" s="357">
        <v>4</v>
      </c>
      <c r="J182" s="236"/>
      <c r="K182">
        <v>44</v>
      </c>
      <c r="L182">
        <f t="shared" si="17"/>
        <v>0.17599999999999999</v>
      </c>
    </row>
    <row r="183" spans="1:12">
      <c r="A183" s="203"/>
      <c r="B183" s="201"/>
      <c r="C183" s="394"/>
      <c r="D183" s="247" t="s">
        <v>347</v>
      </c>
      <c r="E183" s="211"/>
      <c r="F183" s="211"/>
      <c r="G183" s="357">
        <v>4</v>
      </c>
      <c r="H183" s="235"/>
      <c r="I183" s="357">
        <v>4</v>
      </c>
      <c r="J183" s="236"/>
      <c r="L183">
        <f t="shared" si="17"/>
        <v>0</v>
      </c>
    </row>
    <row r="184" spans="1:12">
      <c r="A184" s="203"/>
      <c r="B184" s="201"/>
      <c r="C184" s="394"/>
      <c r="D184" s="247" t="s">
        <v>27</v>
      </c>
      <c r="E184" s="211"/>
      <c r="F184" s="211"/>
      <c r="G184" s="357">
        <v>152</v>
      </c>
      <c r="H184" s="235"/>
      <c r="I184" s="357">
        <v>152</v>
      </c>
      <c r="J184" s="236"/>
      <c r="L184">
        <f t="shared" si="17"/>
        <v>0</v>
      </c>
    </row>
    <row r="185" spans="1:12">
      <c r="A185" s="203"/>
      <c r="B185" s="201"/>
      <c r="C185" s="394"/>
      <c r="D185" s="247" t="s">
        <v>89</v>
      </c>
      <c r="E185" s="211"/>
      <c r="F185" s="211"/>
      <c r="G185" s="357">
        <v>152</v>
      </c>
      <c r="H185" s="235"/>
      <c r="I185" s="357">
        <v>152</v>
      </c>
      <c r="J185" s="236"/>
      <c r="L185">
        <f t="shared" si="17"/>
        <v>0</v>
      </c>
    </row>
    <row r="186" spans="1:12">
      <c r="A186" s="203"/>
      <c r="B186" s="201"/>
      <c r="C186" s="394"/>
      <c r="D186" s="247" t="s">
        <v>173</v>
      </c>
      <c r="E186" s="211"/>
      <c r="F186" s="211"/>
      <c r="G186" s="357">
        <v>152</v>
      </c>
      <c r="H186" s="235"/>
      <c r="I186" s="357">
        <v>152</v>
      </c>
      <c r="J186" s="236"/>
      <c r="L186">
        <f t="shared" si="17"/>
        <v>0</v>
      </c>
    </row>
    <row r="187" spans="1:12">
      <c r="A187" s="203"/>
      <c r="B187" s="201"/>
      <c r="C187" s="394"/>
      <c r="D187" s="247" t="s">
        <v>29</v>
      </c>
      <c r="E187" s="220"/>
      <c r="F187" s="220"/>
      <c r="G187" s="357">
        <v>0.2</v>
      </c>
      <c r="H187" s="257"/>
      <c r="I187" s="357">
        <v>0.2</v>
      </c>
      <c r="J187" s="238"/>
      <c r="K187">
        <v>17</v>
      </c>
      <c r="L187">
        <f t="shared" si="17"/>
        <v>3.4000000000000002E-3</v>
      </c>
    </row>
    <row r="188" spans="1:12">
      <c r="A188" s="203"/>
      <c r="B188" s="201"/>
      <c r="C188" s="394"/>
      <c r="D188" s="252" t="s">
        <v>21</v>
      </c>
      <c r="E188" s="222"/>
      <c r="F188" s="222"/>
      <c r="G188" s="370">
        <v>200</v>
      </c>
      <c r="H188" s="355"/>
      <c r="I188" s="258"/>
      <c r="J188" s="223"/>
    </row>
    <row r="189" spans="1:12">
      <c r="A189" s="203"/>
      <c r="B189" s="201"/>
      <c r="C189" s="394"/>
      <c r="D189" s="203"/>
      <c r="E189" s="203"/>
      <c r="F189" s="203"/>
      <c r="G189" s="203"/>
      <c r="H189" s="203"/>
      <c r="I189" s="203"/>
      <c r="J189" s="203"/>
    </row>
    <row r="190" spans="1:12">
      <c r="A190" s="203"/>
      <c r="B190" s="201" t="s">
        <v>71</v>
      </c>
      <c r="C190" s="394"/>
      <c r="D190" s="203"/>
      <c r="E190" s="203"/>
      <c r="F190" s="203"/>
      <c r="G190" s="347" t="s">
        <v>181</v>
      </c>
      <c r="H190" s="347"/>
      <c r="I190" s="347" t="s">
        <v>182</v>
      </c>
      <c r="J190" s="347"/>
      <c r="L190" s="254">
        <f>SUM(L191:L196)</f>
        <v>27.560709999999997</v>
      </c>
    </row>
    <row r="191" spans="1:12">
      <c r="A191" s="203"/>
      <c r="B191" s="201"/>
      <c r="C191" s="394">
        <v>100</v>
      </c>
      <c r="D191" s="348" t="s">
        <v>92</v>
      </c>
      <c r="E191" s="348"/>
      <c r="F191" s="348"/>
      <c r="G191" s="349">
        <v>87</v>
      </c>
      <c r="H191" s="349"/>
      <c r="I191" s="349">
        <v>77</v>
      </c>
      <c r="J191" s="349"/>
      <c r="K191">
        <v>270</v>
      </c>
      <c r="L191">
        <f>K191*G191/1000</f>
        <v>23.49</v>
      </c>
    </row>
    <row r="192" spans="1:12">
      <c r="A192" s="203"/>
      <c r="B192" s="201"/>
      <c r="C192" s="394"/>
      <c r="D192" s="350" t="s">
        <v>4</v>
      </c>
      <c r="E192" s="351"/>
      <c r="F192" s="351"/>
      <c r="G192" s="352">
        <v>14.5</v>
      </c>
      <c r="H192" s="353"/>
      <c r="I192" s="352">
        <v>14.5</v>
      </c>
      <c r="J192" s="353"/>
      <c r="K192">
        <v>45.54</v>
      </c>
      <c r="L192">
        <f t="shared" ref="L192:L196" si="18">K192*G192/1000</f>
        <v>0.66033000000000008</v>
      </c>
    </row>
    <row r="193" spans="1:12">
      <c r="A193" s="203"/>
      <c r="B193" s="201"/>
      <c r="C193" s="394"/>
      <c r="D193" s="350" t="s">
        <v>26</v>
      </c>
      <c r="E193" s="351"/>
      <c r="F193" s="351"/>
      <c r="G193" s="352">
        <v>22</v>
      </c>
      <c r="H193" s="353"/>
      <c r="I193" s="352">
        <v>22</v>
      </c>
      <c r="J193" s="353"/>
      <c r="K193">
        <v>48.19</v>
      </c>
      <c r="L193">
        <f t="shared" si="18"/>
        <v>1.0601799999999999</v>
      </c>
    </row>
    <row r="194" spans="1:12">
      <c r="A194" s="203"/>
      <c r="B194" s="201"/>
      <c r="C194" s="394"/>
      <c r="D194" s="350" t="s">
        <v>93</v>
      </c>
      <c r="E194" s="351"/>
      <c r="F194" s="351"/>
      <c r="G194" s="352">
        <v>10</v>
      </c>
      <c r="H194" s="353"/>
      <c r="I194" s="352">
        <v>10</v>
      </c>
      <c r="J194" s="353"/>
      <c r="K194">
        <v>150</v>
      </c>
      <c r="L194">
        <f t="shared" si="18"/>
        <v>1.5</v>
      </c>
    </row>
    <row r="195" spans="1:12">
      <c r="A195" s="203"/>
      <c r="B195" s="201"/>
      <c r="C195" s="394"/>
      <c r="D195" s="350" t="s">
        <v>81</v>
      </c>
      <c r="E195" s="351"/>
      <c r="F195" s="351"/>
      <c r="G195" s="375">
        <v>6</v>
      </c>
      <c r="H195" s="376"/>
      <c r="I195" s="352">
        <v>6</v>
      </c>
      <c r="J195" s="353"/>
      <c r="K195">
        <v>140</v>
      </c>
      <c r="L195">
        <f t="shared" si="18"/>
        <v>0.84</v>
      </c>
    </row>
    <row r="196" spans="1:12">
      <c r="A196" s="203"/>
      <c r="B196" s="201"/>
      <c r="C196" s="394"/>
      <c r="D196" s="348" t="s">
        <v>94</v>
      </c>
      <c r="E196" s="348"/>
      <c r="F196" s="348"/>
      <c r="G196" s="349">
        <v>0.6</v>
      </c>
      <c r="H196" s="349"/>
      <c r="I196" s="349">
        <v>0.6</v>
      </c>
      <c r="J196" s="349"/>
      <c r="K196">
        <v>17</v>
      </c>
      <c r="L196">
        <f t="shared" si="18"/>
        <v>1.0199999999999999E-2</v>
      </c>
    </row>
    <row r="197" spans="1:12">
      <c r="A197" s="203"/>
      <c r="B197" s="201"/>
      <c r="C197" s="394"/>
      <c r="D197" s="354" t="s">
        <v>74</v>
      </c>
      <c r="E197" s="354"/>
      <c r="F197" s="354"/>
      <c r="G197" s="355" t="s">
        <v>30</v>
      </c>
      <c r="H197" s="355"/>
      <c r="I197" s="356">
        <v>90</v>
      </c>
      <c r="J197" s="356"/>
    </row>
    <row r="198" spans="1:12">
      <c r="A198" s="203"/>
      <c r="B198" s="201"/>
      <c r="C198" s="394"/>
      <c r="D198" s="203"/>
      <c r="E198" s="203"/>
      <c r="F198" s="203"/>
      <c r="G198" s="203"/>
      <c r="H198" s="203"/>
      <c r="I198" s="203"/>
      <c r="J198" s="203"/>
    </row>
    <row r="199" spans="1:12">
      <c r="A199" s="203"/>
      <c r="B199" s="246" t="s">
        <v>284</v>
      </c>
      <c r="C199" s="394"/>
      <c r="D199" s="203"/>
      <c r="E199" s="203"/>
      <c r="F199" s="203"/>
      <c r="G199" s="368" t="s">
        <v>181</v>
      </c>
      <c r="H199" s="347"/>
      <c r="I199" s="368" t="s">
        <v>182</v>
      </c>
      <c r="J199" s="347"/>
      <c r="L199" s="254">
        <f>SUM(L200:L205)</f>
        <v>6.0679600000000002</v>
      </c>
    </row>
    <row r="200" spans="1:12">
      <c r="A200" s="203"/>
      <c r="B200" s="201"/>
      <c r="C200" s="394">
        <v>180</v>
      </c>
      <c r="D200" s="319" t="s">
        <v>25</v>
      </c>
      <c r="E200" s="319"/>
      <c r="F200" s="319"/>
      <c r="G200" s="357">
        <v>52.22</v>
      </c>
      <c r="H200" s="233"/>
      <c r="I200" s="357">
        <v>52.22</v>
      </c>
      <c r="J200" s="234"/>
      <c r="K200">
        <v>75</v>
      </c>
      <c r="L200">
        <f>G200*K200/1000</f>
        <v>3.9165000000000001</v>
      </c>
    </row>
    <row r="201" spans="1:12">
      <c r="A201" s="203"/>
      <c r="B201" s="201"/>
      <c r="C201" s="394"/>
      <c r="D201" s="319" t="s">
        <v>27</v>
      </c>
      <c r="E201" s="319"/>
      <c r="F201" s="319"/>
      <c r="G201" s="357">
        <v>110.07</v>
      </c>
      <c r="H201" s="235"/>
      <c r="I201" s="357">
        <v>110.07</v>
      </c>
      <c r="J201" s="236"/>
      <c r="K201">
        <v>0</v>
      </c>
      <c r="L201">
        <f t="shared" ref="L201:L202" si="19">G201*K201/1000</f>
        <v>0</v>
      </c>
    </row>
    <row r="202" spans="1:12">
      <c r="A202" s="203"/>
      <c r="B202" s="201"/>
      <c r="C202" s="394"/>
      <c r="D202" s="319" t="s">
        <v>29</v>
      </c>
      <c r="E202" s="319"/>
      <c r="F202" s="319"/>
      <c r="G202" s="357">
        <v>0.38</v>
      </c>
      <c r="H202" s="235"/>
      <c r="I202" s="357">
        <v>0.38</v>
      </c>
      <c r="J202" s="236"/>
      <c r="K202">
        <v>17</v>
      </c>
      <c r="L202">
        <f t="shared" si="19"/>
        <v>6.4599999999999996E-3</v>
      </c>
    </row>
    <row r="203" spans="1:12">
      <c r="A203" s="203"/>
      <c r="B203" s="201"/>
      <c r="C203" s="394"/>
      <c r="D203" s="319" t="s">
        <v>348</v>
      </c>
      <c r="E203" s="319"/>
      <c r="F203" s="319"/>
      <c r="G203" s="357" t="s">
        <v>30</v>
      </c>
      <c r="H203" s="235"/>
      <c r="I203" s="357">
        <v>146.1</v>
      </c>
      <c r="J203" s="236"/>
      <c r="K203">
        <v>0</v>
      </c>
    </row>
    <row r="204" spans="1:12">
      <c r="A204" s="203"/>
      <c r="B204" s="201"/>
      <c r="C204" s="394"/>
      <c r="D204" s="319" t="s">
        <v>20</v>
      </c>
      <c r="E204" s="319"/>
      <c r="F204" s="319"/>
      <c r="G204" s="357">
        <v>3.9</v>
      </c>
      <c r="H204" s="211"/>
      <c r="I204" s="357">
        <v>3.9</v>
      </c>
      <c r="J204" s="236"/>
      <c r="K204">
        <v>550</v>
      </c>
      <c r="L204">
        <f t="shared" ref="L204:L205" si="20">G204*K204/1000</f>
        <v>2.145</v>
      </c>
    </row>
    <row r="205" spans="1:12">
      <c r="A205" s="203"/>
      <c r="B205" s="201"/>
      <c r="C205" s="394"/>
      <c r="D205" s="371" t="s">
        <v>21</v>
      </c>
      <c r="E205" s="371"/>
      <c r="F205" s="371"/>
      <c r="G205" s="259"/>
      <c r="H205" s="236"/>
      <c r="I205" s="259"/>
      <c r="J205" s="236"/>
      <c r="L205">
        <f t="shared" si="20"/>
        <v>0</v>
      </c>
    </row>
    <row r="206" spans="1:12">
      <c r="A206" s="203"/>
      <c r="B206" s="201"/>
      <c r="C206" s="394"/>
      <c r="D206" s="203"/>
      <c r="E206" s="203"/>
      <c r="F206" s="203"/>
      <c r="G206" s="203"/>
      <c r="H206" s="203"/>
      <c r="I206" s="203"/>
      <c r="J206" s="203"/>
    </row>
    <row r="207" spans="1:12">
      <c r="A207" s="203"/>
      <c r="B207" s="201" t="s">
        <v>5</v>
      </c>
      <c r="C207" s="394"/>
      <c r="D207" s="203"/>
      <c r="E207" s="203"/>
      <c r="F207" s="203"/>
      <c r="G207" s="347" t="s">
        <v>181</v>
      </c>
      <c r="H207" s="347"/>
      <c r="I207" s="347" t="s">
        <v>182</v>
      </c>
      <c r="J207" s="347"/>
      <c r="L207" s="204">
        <f>L208+L209+L210</f>
        <v>2.2000000000000002</v>
      </c>
    </row>
    <row r="208" spans="1:12">
      <c r="A208" s="203"/>
      <c r="B208" s="201"/>
      <c r="C208" s="394">
        <v>200</v>
      </c>
      <c r="D208" s="348" t="s">
        <v>157</v>
      </c>
      <c r="E208" s="348"/>
      <c r="F208" s="348"/>
      <c r="G208" s="349">
        <v>0.6</v>
      </c>
      <c r="H208" s="349"/>
      <c r="I208" s="349">
        <v>0.6</v>
      </c>
      <c r="J208" s="349"/>
      <c r="K208">
        <v>500</v>
      </c>
      <c r="L208" s="4">
        <f t="shared" ref="L208:L210" si="21">K208/1000*G208</f>
        <v>0.3</v>
      </c>
    </row>
    <row r="209" spans="1:12">
      <c r="A209" s="203"/>
      <c r="B209" s="201"/>
      <c r="C209" s="394"/>
      <c r="D209" s="350" t="s">
        <v>103</v>
      </c>
      <c r="E209" s="351"/>
      <c r="F209" s="351"/>
      <c r="G209" s="352">
        <v>15</v>
      </c>
      <c r="H209" s="353"/>
      <c r="I209" s="352">
        <v>15</v>
      </c>
      <c r="J209" s="353"/>
      <c r="K209">
        <v>55</v>
      </c>
      <c r="L209" s="4">
        <f t="shared" si="21"/>
        <v>0.82499999999999996</v>
      </c>
    </row>
    <row r="210" spans="1:12">
      <c r="A210" s="203"/>
      <c r="B210" s="201"/>
      <c r="C210" s="394"/>
      <c r="D210" s="350" t="s">
        <v>172</v>
      </c>
      <c r="E210" s="351"/>
      <c r="F210" s="351"/>
      <c r="G210" s="352">
        <v>5</v>
      </c>
      <c r="H210" s="353"/>
      <c r="I210" s="352">
        <v>4</v>
      </c>
      <c r="J210" s="353"/>
      <c r="K210">
        <v>215</v>
      </c>
      <c r="L210" s="4">
        <f t="shared" si="21"/>
        <v>1.075</v>
      </c>
    </row>
    <row r="211" spans="1:12">
      <c r="A211" s="203"/>
      <c r="B211" s="201"/>
      <c r="C211" s="394"/>
      <c r="D211" s="354" t="s">
        <v>74</v>
      </c>
      <c r="E211" s="354"/>
      <c r="F211" s="354"/>
      <c r="G211" s="355" t="s">
        <v>30</v>
      </c>
      <c r="H211" s="355"/>
      <c r="I211" s="355" t="s">
        <v>223</v>
      </c>
      <c r="J211" s="355"/>
    </row>
    <row r="212" spans="1:12">
      <c r="A212" s="203"/>
      <c r="B212" s="201"/>
      <c r="C212" s="394"/>
      <c r="D212" s="203"/>
      <c r="E212" s="203"/>
      <c r="F212" s="203"/>
      <c r="G212" s="203"/>
      <c r="H212" s="203"/>
      <c r="I212" s="203"/>
      <c r="J212" s="203"/>
    </row>
    <row r="213" spans="1:12">
      <c r="A213" s="203"/>
      <c r="B213" s="201" t="s">
        <v>263</v>
      </c>
      <c r="C213" s="394">
        <v>40</v>
      </c>
      <c r="D213" s="348" t="s">
        <v>263</v>
      </c>
      <c r="E213" s="348"/>
      <c r="F213" s="348"/>
      <c r="G213" s="349">
        <v>40</v>
      </c>
      <c r="H213" s="349"/>
      <c r="I213" s="349">
        <v>40</v>
      </c>
      <c r="J213" s="349"/>
      <c r="K213">
        <v>29.72</v>
      </c>
      <c r="L213" s="254">
        <f>K213/1000*G213</f>
        <v>1.1888000000000001</v>
      </c>
    </row>
    <row r="214" spans="1:12">
      <c r="A214" s="203"/>
      <c r="B214" s="201"/>
      <c r="C214" s="394"/>
      <c r="D214" s="203"/>
      <c r="E214" s="203"/>
      <c r="F214" s="203"/>
      <c r="G214" s="203"/>
      <c r="H214" s="203"/>
      <c r="I214" s="203"/>
      <c r="J214" s="203"/>
    </row>
    <row r="215" spans="1:12">
      <c r="A215" s="260"/>
      <c r="B215" s="201" t="s">
        <v>4</v>
      </c>
      <c r="C215" s="394">
        <v>30</v>
      </c>
      <c r="D215" s="348" t="s">
        <v>4</v>
      </c>
      <c r="E215" s="348"/>
      <c r="F215" s="348"/>
      <c r="G215" s="349">
        <v>30</v>
      </c>
      <c r="H215" s="349"/>
      <c r="I215" s="349">
        <v>30</v>
      </c>
      <c r="J215" s="349"/>
      <c r="K215">
        <v>45.54</v>
      </c>
      <c r="L215" s="254">
        <f>K215/1000*G215</f>
        <v>1.3661999999999999</v>
      </c>
    </row>
    <row r="216" spans="1:12">
      <c r="A216" s="260" t="s">
        <v>357</v>
      </c>
      <c r="B216" s="201" t="s">
        <v>350</v>
      </c>
      <c r="C216" s="394">
        <v>100</v>
      </c>
      <c r="D216" s="203"/>
      <c r="E216" s="203"/>
      <c r="F216" s="203"/>
      <c r="G216" s="347" t="s">
        <v>181</v>
      </c>
      <c r="H216" s="347"/>
      <c r="I216" s="347" t="s">
        <v>182</v>
      </c>
      <c r="J216" s="347"/>
      <c r="L216" s="50">
        <f>SUM(L217:L218)</f>
        <v>5.298</v>
      </c>
    </row>
    <row r="217" spans="1:12">
      <c r="A217" s="203"/>
      <c r="B217" s="201"/>
      <c r="C217" s="394"/>
      <c r="D217" s="348" t="s">
        <v>350</v>
      </c>
      <c r="E217" s="348"/>
      <c r="F217" s="348"/>
      <c r="G217" s="349">
        <v>60</v>
      </c>
      <c r="H217" s="349"/>
      <c r="I217" s="349">
        <v>60</v>
      </c>
      <c r="J217" s="349"/>
      <c r="K217">
        <v>88.3</v>
      </c>
      <c r="L217">
        <f>G217*K217/1000</f>
        <v>5.298</v>
      </c>
    </row>
    <row r="218" spans="1:12">
      <c r="A218" s="203"/>
      <c r="B218" s="201"/>
      <c r="C218" s="394"/>
      <c r="D218" s="350"/>
      <c r="E218" s="351"/>
      <c r="F218" s="351"/>
      <c r="G218" s="352"/>
      <c r="H218" s="353"/>
      <c r="I218" s="352"/>
      <c r="J218" s="353"/>
      <c r="L218">
        <f t="shared" ref="L218" si="22">G218*K218/1000</f>
        <v>0</v>
      </c>
    </row>
    <row r="219" spans="1:12">
      <c r="A219" s="203"/>
      <c r="B219" s="201" t="s">
        <v>351</v>
      </c>
      <c r="C219" s="394">
        <v>250</v>
      </c>
      <c r="D219" s="203"/>
      <c r="E219" s="203"/>
      <c r="F219" s="203"/>
      <c r="G219" s="347" t="s">
        <v>181</v>
      </c>
      <c r="H219" s="347"/>
      <c r="I219" s="347" t="s">
        <v>182</v>
      </c>
      <c r="J219" s="347"/>
      <c r="L219" s="50">
        <f>SUM(L220:L229)</f>
        <v>7.020249999999999</v>
      </c>
    </row>
    <row r="220" spans="1:12">
      <c r="A220" s="203"/>
      <c r="B220" s="201"/>
      <c r="C220" s="394"/>
      <c r="D220" s="348" t="s">
        <v>352</v>
      </c>
      <c r="E220" s="348"/>
      <c r="F220" s="348"/>
      <c r="G220" s="349">
        <v>140</v>
      </c>
      <c r="H220" s="349"/>
      <c r="I220" s="349">
        <v>140</v>
      </c>
      <c r="J220" s="349"/>
      <c r="L220">
        <f t="shared" ref="L220:L229" si="23">G220*K220/1000</f>
        <v>0</v>
      </c>
    </row>
    <row r="221" spans="1:12">
      <c r="A221" s="203"/>
      <c r="B221" s="201"/>
      <c r="C221" s="394"/>
      <c r="D221" s="348" t="s">
        <v>84</v>
      </c>
      <c r="E221" s="348"/>
      <c r="F221" s="348"/>
      <c r="G221" s="349">
        <v>70</v>
      </c>
      <c r="H221" s="349"/>
      <c r="I221" s="349">
        <v>56</v>
      </c>
      <c r="J221" s="349"/>
      <c r="K221">
        <v>27</v>
      </c>
      <c r="L221">
        <f t="shared" si="23"/>
        <v>1.89</v>
      </c>
    </row>
    <row r="222" spans="1:12">
      <c r="A222" s="203"/>
      <c r="B222" s="201"/>
      <c r="C222" s="394"/>
      <c r="D222" s="350" t="s">
        <v>353</v>
      </c>
      <c r="E222" s="351"/>
      <c r="F222" s="351"/>
      <c r="G222" s="352">
        <v>17</v>
      </c>
      <c r="H222" s="353"/>
      <c r="I222" s="352">
        <v>15</v>
      </c>
      <c r="J222" s="353"/>
      <c r="K222" s="261">
        <v>140</v>
      </c>
      <c r="L222">
        <f t="shared" si="23"/>
        <v>2.38</v>
      </c>
    </row>
    <row r="223" spans="1:12">
      <c r="A223" s="203"/>
      <c r="B223" s="201"/>
      <c r="C223" s="394"/>
      <c r="D223" s="348" t="s">
        <v>85</v>
      </c>
      <c r="E223" s="348"/>
      <c r="F223" s="348"/>
      <c r="G223" s="352">
        <v>6</v>
      </c>
      <c r="H223" s="353"/>
      <c r="I223" s="352">
        <v>5</v>
      </c>
      <c r="J223" s="353"/>
      <c r="K223">
        <v>30</v>
      </c>
      <c r="L223">
        <f t="shared" si="23"/>
        <v>0.18</v>
      </c>
    </row>
    <row r="224" spans="1:12">
      <c r="A224" s="203"/>
      <c r="B224" s="201"/>
      <c r="C224" s="394"/>
      <c r="D224" s="350" t="s">
        <v>86</v>
      </c>
      <c r="E224" s="351"/>
      <c r="F224" s="351"/>
      <c r="G224" s="352">
        <v>5</v>
      </c>
      <c r="H224" s="353"/>
      <c r="I224" s="352">
        <v>4</v>
      </c>
      <c r="J224" s="353"/>
      <c r="K224">
        <v>20</v>
      </c>
      <c r="L224">
        <f t="shared" si="23"/>
        <v>0.1</v>
      </c>
    </row>
    <row r="225" spans="1:12">
      <c r="A225" s="203"/>
      <c r="B225" s="201"/>
      <c r="C225" s="394"/>
      <c r="D225" s="350" t="s">
        <v>118</v>
      </c>
      <c r="E225" s="351"/>
      <c r="F225" s="351"/>
      <c r="G225" s="352">
        <v>5</v>
      </c>
      <c r="H225" s="353"/>
      <c r="I225" s="352">
        <v>5</v>
      </c>
      <c r="J225" s="353"/>
      <c r="K225">
        <v>29.45</v>
      </c>
      <c r="L225">
        <f t="shared" si="23"/>
        <v>0.14724999999999999</v>
      </c>
    </row>
    <row r="226" spans="1:12">
      <c r="A226" s="203"/>
      <c r="B226" s="201"/>
      <c r="C226" s="394"/>
      <c r="D226" s="350" t="s">
        <v>81</v>
      </c>
      <c r="E226" s="351"/>
      <c r="F226" s="351"/>
      <c r="G226" s="352">
        <v>4</v>
      </c>
      <c r="H226" s="353"/>
      <c r="I226" s="352">
        <v>4</v>
      </c>
      <c r="J226" s="353"/>
      <c r="K226">
        <v>140</v>
      </c>
      <c r="L226">
        <f t="shared" si="23"/>
        <v>0.56000000000000005</v>
      </c>
    </row>
    <row r="227" spans="1:12">
      <c r="A227" s="203"/>
      <c r="B227" s="201"/>
      <c r="C227" s="394"/>
      <c r="D227" s="262" t="s">
        <v>94</v>
      </c>
      <c r="E227" s="263"/>
      <c r="F227" s="263"/>
      <c r="G227" s="352">
        <v>1</v>
      </c>
      <c r="H227" s="353"/>
      <c r="I227" s="352">
        <v>1</v>
      </c>
      <c r="J227" s="353"/>
      <c r="K227">
        <v>17</v>
      </c>
      <c r="L227">
        <f t="shared" si="23"/>
        <v>1.7000000000000001E-2</v>
      </c>
    </row>
    <row r="228" spans="1:12">
      <c r="A228" s="203"/>
      <c r="B228" s="201"/>
      <c r="C228" s="394"/>
      <c r="D228" s="350" t="s">
        <v>101</v>
      </c>
      <c r="E228" s="351"/>
      <c r="F228" s="351"/>
      <c r="G228" s="381">
        <v>0.01</v>
      </c>
      <c r="H228" s="382"/>
      <c r="I228" s="381">
        <v>0.01</v>
      </c>
      <c r="J228" s="382"/>
      <c r="K228">
        <v>1000</v>
      </c>
      <c r="L228">
        <f t="shared" si="23"/>
        <v>0.01</v>
      </c>
    </row>
    <row r="229" spans="1:12">
      <c r="A229" s="203"/>
      <c r="B229" s="201"/>
      <c r="C229" s="394"/>
      <c r="D229" s="348" t="s">
        <v>109</v>
      </c>
      <c r="E229" s="348"/>
      <c r="F229" s="348"/>
      <c r="G229" s="349">
        <v>10</v>
      </c>
      <c r="H229" s="349"/>
      <c r="I229" s="349">
        <v>10</v>
      </c>
      <c r="J229" s="349"/>
      <c r="K229">
        <v>173.6</v>
      </c>
      <c r="L229">
        <f t="shared" si="23"/>
        <v>1.736</v>
      </c>
    </row>
    <row r="230" spans="1:12">
      <c r="A230" s="203"/>
      <c r="B230" s="201"/>
      <c r="C230" s="394"/>
      <c r="D230" s="354" t="s">
        <v>74</v>
      </c>
      <c r="E230" s="354"/>
      <c r="F230" s="354"/>
      <c r="G230" s="355" t="s">
        <v>30</v>
      </c>
      <c r="H230" s="355"/>
      <c r="I230" s="355" t="s">
        <v>106</v>
      </c>
      <c r="J230" s="355"/>
    </row>
    <row r="231" spans="1:12">
      <c r="A231" s="203"/>
      <c r="B231" s="201"/>
      <c r="C231" s="394"/>
      <c r="D231" s="203"/>
      <c r="E231" s="203"/>
      <c r="F231" s="203"/>
      <c r="G231" s="203"/>
      <c r="H231" s="203"/>
      <c r="I231" s="203"/>
      <c r="J231" s="203"/>
    </row>
    <row r="232" spans="1:12">
      <c r="A232" s="203"/>
      <c r="B232" s="201" t="s">
        <v>354</v>
      </c>
      <c r="C232" s="394"/>
      <c r="D232" s="203"/>
      <c r="E232" s="203"/>
      <c r="F232" s="203"/>
      <c r="G232" s="347" t="s">
        <v>181</v>
      </c>
      <c r="H232" s="347"/>
      <c r="I232" s="347" t="s">
        <v>182</v>
      </c>
      <c r="J232" s="347"/>
      <c r="L232" s="50">
        <f>SUM(L233:L237)</f>
        <v>66.124633499999987</v>
      </c>
    </row>
    <row r="233" spans="1:12">
      <c r="A233" s="203"/>
      <c r="B233" s="201"/>
      <c r="C233" s="394">
        <v>100</v>
      </c>
      <c r="D233" s="348" t="s">
        <v>355</v>
      </c>
      <c r="E233" s="348"/>
      <c r="F233" s="348"/>
      <c r="G233" s="349">
        <f>124*I238/100</f>
        <v>111.6</v>
      </c>
      <c r="H233" s="349"/>
      <c r="I233" s="349">
        <f>101*I238/100</f>
        <v>90.9</v>
      </c>
      <c r="J233" s="349"/>
      <c r="K233">
        <v>548</v>
      </c>
      <c r="L233">
        <f t="shared" ref="L233:L237" si="24">G233*K233/1000</f>
        <v>61.156799999999997</v>
      </c>
    </row>
    <row r="234" spans="1:12">
      <c r="A234" s="203"/>
      <c r="B234" s="201"/>
      <c r="C234" s="394"/>
      <c r="D234" s="350" t="s">
        <v>356</v>
      </c>
      <c r="E234" s="351"/>
      <c r="F234" s="351"/>
      <c r="G234" s="352">
        <f>15*I238/100</f>
        <v>13.5</v>
      </c>
      <c r="H234" s="353"/>
      <c r="I234" s="352">
        <f>G234</f>
        <v>13.5</v>
      </c>
      <c r="J234" s="353"/>
      <c r="K234">
        <v>270</v>
      </c>
      <c r="L234">
        <f t="shared" si="24"/>
        <v>3.645</v>
      </c>
    </row>
    <row r="235" spans="1:12">
      <c r="A235" s="203"/>
      <c r="B235" s="201"/>
      <c r="C235" s="394"/>
      <c r="D235" s="350" t="s">
        <v>26</v>
      </c>
      <c r="E235" s="351"/>
      <c r="F235" s="351"/>
      <c r="G235" s="352">
        <f>8.5*I238/100</f>
        <v>7.65</v>
      </c>
      <c r="H235" s="353"/>
      <c r="I235" s="352">
        <f>G235</f>
        <v>7.65</v>
      </c>
      <c r="J235" s="353"/>
      <c r="K235">
        <v>48.19</v>
      </c>
      <c r="L235">
        <f t="shared" si="24"/>
        <v>0.36865350000000002</v>
      </c>
    </row>
    <row r="236" spans="1:12">
      <c r="A236" s="203"/>
      <c r="B236" s="201"/>
      <c r="C236" s="394"/>
      <c r="D236" s="350" t="s">
        <v>81</v>
      </c>
      <c r="E236" s="351"/>
      <c r="F236" s="351"/>
      <c r="G236" s="352">
        <f>7.5*I238/100</f>
        <v>6.75</v>
      </c>
      <c r="H236" s="353"/>
      <c r="I236" s="352">
        <f>G236</f>
        <v>6.75</v>
      </c>
      <c r="J236" s="353"/>
      <c r="K236">
        <v>140</v>
      </c>
      <c r="L236">
        <f t="shared" si="24"/>
        <v>0.94499999999999995</v>
      </c>
    </row>
    <row r="237" spans="1:12">
      <c r="A237" s="203"/>
      <c r="B237" s="201"/>
      <c r="C237" s="394"/>
      <c r="D237" s="348" t="s">
        <v>94</v>
      </c>
      <c r="E237" s="348"/>
      <c r="F237" s="348"/>
      <c r="G237" s="349">
        <f>0.6*I238/100</f>
        <v>0.54</v>
      </c>
      <c r="H237" s="349"/>
      <c r="I237" s="349">
        <f>G237</f>
        <v>0.54</v>
      </c>
      <c r="J237" s="349"/>
      <c r="K237">
        <v>17</v>
      </c>
      <c r="L237">
        <f t="shared" si="24"/>
        <v>9.1799999999999989E-3</v>
      </c>
    </row>
    <row r="238" spans="1:12">
      <c r="A238" s="203"/>
      <c r="B238" s="201"/>
      <c r="C238" s="394"/>
      <c r="D238" s="354" t="s">
        <v>74</v>
      </c>
      <c r="E238" s="354"/>
      <c r="F238" s="354"/>
      <c r="G238" s="355" t="s">
        <v>30</v>
      </c>
      <c r="H238" s="355"/>
      <c r="I238" s="356">
        <v>90</v>
      </c>
      <c r="J238" s="356"/>
    </row>
    <row r="239" spans="1:12">
      <c r="A239" s="203"/>
      <c r="B239" s="201"/>
      <c r="C239" s="394"/>
      <c r="D239" s="203"/>
      <c r="E239" s="203"/>
      <c r="F239" s="203"/>
      <c r="G239" s="203"/>
      <c r="H239" s="203"/>
      <c r="I239" s="203"/>
      <c r="J239" s="203"/>
    </row>
    <row r="240" spans="1:12">
      <c r="A240" s="203"/>
      <c r="B240" s="201" t="s">
        <v>329</v>
      </c>
      <c r="C240" s="394">
        <v>180</v>
      </c>
      <c r="D240" s="203"/>
      <c r="E240" s="203"/>
      <c r="F240" s="203"/>
      <c r="G240" s="347" t="s">
        <v>181</v>
      </c>
      <c r="H240" s="347"/>
      <c r="I240" s="347" t="s">
        <v>182</v>
      </c>
      <c r="J240" s="347"/>
      <c r="L240" s="50">
        <f>SUM(L241:L244)</f>
        <v>7.4016599999999988</v>
      </c>
    </row>
    <row r="241" spans="1:12">
      <c r="A241" s="203"/>
      <c r="B241" s="201"/>
      <c r="C241" s="394"/>
      <c r="D241" s="348" t="s">
        <v>330</v>
      </c>
      <c r="E241" s="348"/>
      <c r="F241" s="348"/>
      <c r="G241" s="349">
        <f>170*I245/150</f>
        <v>170</v>
      </c>
      <c r="H241" s="349"/>
      <c r="I241" s="349">
        <f>128*I245/150</f>
        <v>128</v>
      </c>
      <c r="J241" s="349"/>
      <c r="K241">
        <v>27</v>
      </c>
      <c r="L241">
        <f t="shared" ref="L241:L244" si="25">G241*K241/1000</f>
        <v>4.59</v>
      </c>
    </row>
    <row r="242" spans="1:12">
      <c r="A242" s="203"/>
      <c r="B242" s="201"/>
      <c r="C242" s="394"/>
      <c r="D242" s="350" t="s">
        <v>26</v>
      </c>
      <c r="E242" s="351"/>
      <c r="F242" s="351"/>
      <c r="G242" s="352">
        <f>24*I245/150</f>
        <v>24</v>
      </c>
      <c r="H242" s="353"/>
      <c r="I242" s="352">
        <f>24*I245/150</f>
        <v>24</v>
      </c>
      <c r="J242" s="353"/>
      <c r="K242">
        <v>48.19</v>
      </c>
      <c r="L242">
        <f t="shared" si="25"/>
        <v>1.15656</v>
      </c>
    </row>
    <row r="243" spans="1:12">
      <c r="A243" s="203"/>
      <c r="B243" s="201"/>
      <c r="C243" s="394"/>
      <c r="D243" s="350" t="s">
        <v>20</v>
      </c>
      <c r="E243" s="351"/>
      <c r="F243" s="351"/>
      <c r="G243" s="352">
        <f>3*I245/150</f>
        <v>3</v>
      </c>
      <c r="H243" s="353"/>
      <c r="I243" s="352">
        <f>3*I245/150</f>
        <v>3</v>
      </c>
      <c r="J243" s="353"/>
      <c r="K243">
        <v>550</v>
      </c>
      <c r="L243">
        <f t="shared" si="25"/>
        <v>1.65</v>
      </c>
    </row>
    <row r="244" spans="1:12">
      <c r="A244" s="203"/>
      <c r="B244" s="201"/>
      <c r="C244" s="394"/>
      <c r="D244" s="348" t="s">
        <v>94</v>
      </c>
      <c r="E244" s="348"/>
      <c r="F244" s="348"/>
      <c r="G244" s="349">
        <f>0.3*I245/150</f>
        <v>0.3</v>
      </c>
      <c r="H244" s="349"/>
      <c r="I244" s="349">
        <f>0.3*I245/150</f>
        <v>0.3</v>
      </c>
      <c r="J244" s="349"/>
      <c r="K244">
        <v>17</v>
      </c>
      <c r="L244">
        <f t="shared" si="25"/>
        <v>5.0999999999999995E-3</v>
      </c>
    </row>
    <row r="245" spans="1:12">
      <c r="A245" s="203"/>
      <c r="B245" s="201"/>
      <c r="C245" s="394"/>
      <c r="D245" s="354" t="s">
        <v>74</v>
      </c>
      <c r="E245" s="354"/>
      <c r="F245" s="354"/>
      <c r="G245" s="355" t="s">
        <v>30</v>
      </c>
      <c r="H245" s="355"/>
      <c r="I245" s="356">
        <v>150</v>
      </c>
      <c r="J245" s="356"/>
    </row>
    <row r="246" spans="1:12">
      <c r="A246" s="203"/>
      <c r="B246" s="201"/>
      <c r="C246" s="394"/>
      <c r="D246" s="203"/>
      <c r="E246" s="203"/>
      <c r="F246" s="203"/>
      <c r="G246" s="203"/>
      <c r="H246" s="203"/>
      <c r="I246" s="203"/>
      <c r="J246" s="203"/>
    </row>
    <row r="247" spans="1:12" s="50" customFormat="1">
      <c r="A247" s="203"/>
      <c r="B247" s="201" t="s">
        <v>331</v>
      </c>
      <c r="C247" s="394"/>
      <c r="D247" s="203"/>
      <c r="E247" s="203"/>
      <c r="F247" s="203"/>
      <c r="G247" s="347" t="s">
        <v>181</v>
      </c>
      <c r="H247" s="347"/>
      <c r="I247" s="347" t="s">
        <v>182</v>
      </c>
      <c r="J247" s="347"/>
      <c r="K247"/>
      <c r="L247" s="50">
        <f>SUM(L248:L250)</f>
        <v>2.7780000000000005</v>
      </c>
    </row>
    <row r="248" spans="1:12">
      <c r="A248" s="203"/>
      <c r="B248" s="201"/>
      <c r="C248" s="394">
        <v>200</v>
      </c>
      <c r="D248" s="348" t="s">
        <v>145</v>
      </c>
      <c r="E248" s="348"/>
      <c r="F248" s="348"/>
      <c r="G248" s="349">
        <f>20*I251/180</f>
        <v>22.222222222222221</v>
      </c>
      <c r="H248" s="349"/>
      <c r="I248" s="349">
        <f>G248</f>
        <v>22.222222222222221</v>
      </c>
      <c r="J248" s="349"/>
      <c r="K248">
        <v>97.51</v>
      </c>
      <c r="L248">
        <f t="shared" ref="L248:L250" si="26">G248*K248/1000</f>
        <v>2.1668888888888893</v>
      </c>
    </row>
    <row r="249" spans="1:12">
      <c r="A249" s="203"/>
      <c r="B249" s="201"/>
      <c r="C249" s="394"/>
      <c r="D249" s="350" t="s">
        <v>103</v>
      </c>
      <c r="E249" s="351"/>
      <c r="F249" s="351"/>
      <c r="G249" s="352">
        <f>10*I251/180</f>
        <v>11.111111111111111</v>
      </c>
      <c r="H249" s="353"/>
      <c r="I249" s="352">
        <f>G249</f>
        <v>11.111111111111111</v>
      </c>
      <c r="J249" s="353"/>
      <c r="K249">
        <v>55</v>
      </c>
      <c r="L249">
        <f t="shared" si="26"/>
        <v>0.61111111111111105</v>
      </c>
    </row>
    <row r="250" spans="1:12">
      <c r="A250" s="203"/>
      <c r="B250" s="201"/>
      <c r="C250" s="394"/>
      <c r="D250" s="350" t="s">
        <v>27</v>
      </c>
      <c r="E250" s="351"/>
      <c r="F250" s="351"/>
      <c r="G250" s="352">
        <f>180*I251/180</f>
        <v>200</v>
      </c>
      <c r="H250" s="353"/>
      <c r="I250" s="352">
        <f>G250</f>
        <v>200</v>
      </c>
      <c r="J250" s="353"/>
      <c r="L250">
        <f t="shared" si="26"/>
        <v>0</v>
      </c>
    </row>
    <row r="251" spans="1:12">
      <c r="A251" s="203"/>
      <c r="B251" s="201"/>
      <c r="C251" s="394"/>
      <c r="D251" s="354" t="s">
        <v>74</v>
      </c>
      <c r="E251" s="354"/>
      <c r="F251" s="354"/>
      <c r="G251" s="355" t="s">
        <v>30</v>
      </c>
      <c r="H251" s="355"/>
      <c r="I251" s="356">
        <v>200</v>
      </c>
      <c r="J251" s="356"/>
    </row>
    <row r="252" spans="1:12">
      <c r="A252" s="203"/>
      <c r="B252" s="201"/>
      <c r="C252" s="394"/>
      <c r="D252" s="203"/>
      <c r="E252" s="203"/>
      <c r="F252" s="203"/>
      <c r="G252" s="203"/>
      <c r="H252" s="203"/>
      <c r="I252" s="203"/>
      <c r="J252" s="203"/>
    </row>
    <row r="253" spans="1:12">
      <c r="A253" s="203"/>
      <c r="B253" s="201" t="s">
        <v>263</v>
      </c>
      <c r="C253" s="394">
        <v>40</v>
      </c>
      <c r="D253" s="348" t="s">
        <v>263</v>
      </c>
      <c r="E253" s="348"/>
      <c r="F253" s="348"/>
      <c r="G253" s="349">
        <v>40</v>
      </c>
      <c r="H253" s="349"/>
      <c r="I253" s="349">
        <v>40</v>
      </c>
      <c r="J253" s="349"/>
      <c r="K253">
        <v>29.72</v>
      </c>
      <c r="L253" s="50">
        <f>K253/1000*G253</f>
        <v>1.1888000000000001</v>
      </c>
    </row>
    <row r="254" spans="1:12">
      <c r="A254" s="203"/>
      <c r="B254" s="201"/>
      <c r="C254" s="394"/>
      <c r="D254" s="203"/>
      <c r="E254" s="203"/>
      <c r="F254" s="203"/>
      <c r="G254" s="203"/>
      <c r="H254" s="203"/>
      <c r="I254" s="203"/>
      <c r="J254" s="203"/>
    </row>
    <row r="255" spans="1:12">
      <c r="A255" s="203"/>
      <c r="B255" s="201" t="s">
        <v>4</v>
      </c>
      <c r="C255" s="394">
        <v>30</v>
      </c>
      <c r="D255" s="348" t="s">
        <v>4</v>
      </c>
      <c r="E255" s="348"/>
      <c r="F255" s="348"/>
      <c r="G255" s="349">
        <v>30</v>
      </c>
      <c r="H255" s="349"/>
      <c r="I255" s="349">
        <v>30</v>
      </c>
      <c r="J255" s="349"/>
      <c r="K255">
        <v>45.54</v>
      </c>
      <c r="L255" s="50">
        <f>K255/1000*G255</f>
        <v>1.3661999999999999</v>
      </c>
    </row>
    <row r="256" spans="1:12">
      <c r="A256" s="203" t="s">
        <v>382</v>
      </c>
      <c r="B256" s="201"/>
      <c r="C256" s="394"/>
      <c r="D256" s="203"/>
      <c r="E256" s="203"/>
      <c r="F256" s="203"/>
      <c r="G256" s="203"/>
      <c r="H256" s="203"/>
      <c r="I256" s="203"/>
      <c r="J256" s="203"/>
    </row>
    <row r="257" spans="1:12">
      <c r="A257" s="203" t="s">
        <v>358</v>
      </c>
      <c r="B257" s="246" t="s">
        <v>234</v>
      </c>
      <c r="C257" s="394">
        <v>100</v>
      </c>
      <c r="D257" s="203"/>
      <c r="E257" s="203"/>
      <c r="F257" s="203"/>
      <c r="G257" s="368"/>
      <c r="H257" s="368"/>
      <c r="I257" s="368"/>
      <c r="J257" s="368"/>
      <c r="L257" s="204">
        <f>SUM(L258:L261)</f>
        <v>2.9399999999999995</v>
      </c>
    </row>
    <row r="258" spans="1:12">
      <c r="A258" s="203"/>
      <c r="B258" s="201"/>
      <c r="C258" s="394"/>
      <c r="D258" s="264" t="s">
        <v>85</v>
      </c>
      <c r="E258" s="265"/>
      <c r="F258" s="265"/>
      <c r="G258" s="383">
        <v>64.5</v>
      </c>
      <c r="H258" s="266"/>
      <c r="I258" s="383">
        <v>51.6</v>
      </c>
      <c r="J258" s="267"/>
      <c r="K258">
        <v>30</v>
      </c>
      <c r="L258" s="4">
        <f t="shared" ref="L258:L261" si="27">K258/1000*G258</f>
        <v>1.9349999999999998</v>
      </c>
    </row>
    <row r="259" spans="1:12">
      <c r="A259" s="203"/>
      <c r="B259" s="201"/>
      <c r="C259" s="394"/>
      <c r="D259" s="264" t="s">
        <v>28</v>
      </c>
      <c r="E259" s="265"/>
      <c r="F259" s="265"/>
      <c r="G259" s="383">
        <v>3</v>
      </c>
      <c r="H259" s="266"/>
      <c r="I259" s="383">
        <v>3</v>
      </c>
      <c r="J259" s="267"/>
      <c r="K259">
        <v>55</v>
      </c>
      <c r="L259" s="4">
        <f t="shared" si="27"/>
        <v>0.16500000000000001</v>
      </c>
    </row>
    <row r="260" spans="1:12">
      <c r="A260" s="255"/>
      <c r="B260" s="201"/>
      <c r="C260" s="394"/>
      <c r="D260" s="264" t="s">
        <v>81</v>
      </c>
      <c r="E260" s="265"/>
      <c r="F260" s="265"/>
      <c r="G260" s="383">
        <v>6</v>
      </c>
      <c r="H260" s="266"/>
      <c r="I260" s="383">
        <v>6</v>
      </c>
      <c r="J260" s="267"/>
      <c r="K260">
        <v>140</v>
      </c>
      <c r="L260" s="4">
        <f t="shared" si="27"/>
        <v>0.84000000000000008</v>
      </c>
    </row>
    <row r="261" spans="1:12">
      <c r="A261" s="203"/>
      <c r="B261" s="201"/>
      <c r="C261" s="394"/>
      <c r="D261" s="268" t="s">
        <v>21</v>
      </c>
      <c r="E261" s="265"/>
      <c r="F261" s="265"/>
      <c r="G261" s="383">
        <v>60</v>
      </c>
      <c r="H261" s="383"/>
      <c r="I261" s="267"/>
      <c r="J261" s="267"/>
      <c r="L261" s="4">
        <f t="shared" si="27"/>
        <v>0</v>
      </c>
    </row>
    <row r="262" spans="1:12">
      <c r="A262" s="203"/>
      <c r="B262" s="201"/>
      <c r="C262" s="394"/>
      <c r="D262" s="384"/>
      <c r="E262" s="384"/>
      <c r="F262" s="384"/>
      <c r="G262" s="385"/>
      <c r="H262" s="385"/>
      <c r="I262" s="386"/>
      <c r="J262" s="386"/>
    </row>
    <row r="263" spans="1:12">
      <c r="A263" s="203"/>
      <c r="B263" s="201"/>
      <c r="C263" s="394"/>
      <c r="D263" s="384"/>
      <c r="E263" s="384"/>
      <c r="F263" s="384"/>
      <c r="G263" s="385"/>
      <c r="H263" s="385"/>
      <c r="I263" s="386"/>
      <c r="J263" s="386"/>
    </row>
    <row r="264" spans="1:12">
      <c r="A264" s="203"/>
      <c r="B264" s="208" t="s">
        <v>301</v>
      </c>
      <c r="C264" s="394">
        <v>100</v>
      </c>
      <c r="D264" s="384"/>
      <c r="E264" s="384"/>
      <c r="F264" s="384"/>
      <c r="G264" s="368" t="s">
        <v>181</v>
      </c>
      <c r="H264" s="368"/>
      <c r="I264" s="368" t="s">
        <v>182</v>
      </c>
      <c r="J264" s="347"/>
      <c r="L264" s="204">
        <f>SUM(L265:L269)</f>
        <v>3.4422599999999997</v>
      </c>
    </row>
    <row r="265" spans="1:12">
      <c r="A265" s="203"/>
      <c r="B265" s="201"/>
      <c r="C265" s="394"/>
      <c r="D265" s="264" t="s">
        <v>85</v>
      </c>
      <c r="E265" s="384"/>
      <c r="F265" s="384"/>
      <c r="G265" s="383">
        <v>78</v>
      </c>
      <c r="H265" s="266"/>
      <c r="I265" s="383">
        <v>62.4</v>
      </c>
      <c r="J265" s="386"/>
      <c r="K265">
        <v>30</v>
      </c>
      <c r="L265" s="4">
        <f t="shared" ref="L265:L269" si="28">K265/1000*G265</f>
        <v>2.34</v>
      </c>
    </row>
    <row r="266" spans="1:12">
      <c r="A266" s="203"/>
      <c r="B266" s="201"/>
      <c r="C266" s="394"/>
      <c r="D266" s="264" t="s">
        <v>29</v>
      </c>
      <c r="E266" s="384"/>
      <c r="F266" s="384"/>
      <c r="G266" s="383">
        <v>0.78</v>
      </c>
      <c r="H266" s="266"/>
      <c r="I266" s="383">
        <v>0.78</v>
      </c>
      <c r="J266" s="386"/>
      <c r="K266" s="64">
        <v>17</v>
      </c>
      <c r="L266" s="4">
        <f t="shared" si="28"/>
        <v>1.3260000000000001E-2</v>
      </c>
    </row>
    <row r="267" spans="1:12">
      <c r="A267" s="203"/>
      <c r="B267" s="201"/>
      <c r="C267" s="394"/>
      <c r="D267" s="264" t="s">
        <v>359</v>
      </c>
      <c r="E267" s="384"/>
      <c r="F267" s="384"/>
      <c r="G267" s="383">
        <v>1.98</v>
      </c>
      <c r="H267" s="266"/>
      <c r="I267" s="383">
        <v>1.98</v>
      </c>
      <c r="J267" s="386"/>
      <c r="K267" s="64">
        <v>550</v>
      </c>
      <c r="L267" s="4">
        <f t="shared" si="28"/>
        <v>1.089</v>
      </c>
    </row>
    <row r="268" spans="1:12">
      <c r="A268" s="203"/>
      <c r="B268" s="201"/>
      <c r="C268" s="394"/>
      <c r="D268" s="268" t="s">
        <v>21</v>
      </c>
      <c r="E268" s="384"/>
      <c r="F268" s="384"/>
      <c r="G268" s="383">
        <v>60</v>
      </c>
      <c r="H268" s="383"/>
      <c r="I268" s="383"/>
      <c r="J268" s="386"/>
      <c r="K268" s="64"/>
      <c r="L268" s="4">
        <f t="shared" si="28"/>
        <v>0</v>
      </c>
    </row>
    <row r="269" spans="1:12">
      <c r="A269" s="203"/>
      <c r="B269" s="201"/>
      <c r="C269" s="394"/>
      <c r="D269" s="247"/>
      <c r="E269" s="384"/>
      <c r="F269" s="384"/>
      <c r="G269" s="383"/>
      <c r="H269" s="266"/>
      <c r="I269" s="383"/>
      <c r="J269" s="386"/>
      <c r="K269" s="64"/>
      <c r="L269" s="4">
        <f t="shared" si="28"/>
        <v>0</v>
      </c>
    </row>
    <row r="270" spans="1:12">
      <c r="A270" s="203"/>
      <c r="B270" s="201"/>
      <c r="C270" s="394"/>
      <c r="D270" s="252"/>
      <c r="E270" s="384"/>
      <c r="F270" s="384"/>
      <c r="G270" s="383"/>
      <c r="H270" s="383"/>
      <c r="I270" s="386"/>
      <c r="J270" s="386"/>
      <c r="K270" s="64"/>
    </row>
    <row r="271" spans="1:12">
      <c r="A271" s="203"/>
      <c r="B271" s="201"/>
      <c r="C271" s="394"/>
      <c r="D271" s="266"/>
      <c r="E271" s="266"/>
      <c r="F271" s="266"/>
      <c r="G271" s="266"/>
      <c r="H271" s="266"/>
      <c r="I271" s="266"/>
      <c r="J271" s="266"/>
      <c r="K271" s="64"/>
    </row>
    <row r="272" spans="1:12">
      <c r="A272" s="203"/>
      <c r="B272" s="208" t="s">
        <v>302</v>
      </c>
      <c r="C272" s="394">
        <v>250</v>
      </c>
      <c r="D272" s="203"/>
      <c r="E272" s="203"/>
      <c r="F272" s="203"/>
      <c r="G272" s="387" t="s">
        <v>181</v>
      </c>
      <c r="H272" s="388"/>
      <c r="I272" s="387" t="s">
        <v>182</v>
      </c>
      <c r="J272" s="388"/>
      <c r="L272" s="254">
        <f>SUM(L273:L283)</f>
        <v>3.1143999999999998</v>
      </c>
    </row>
    <row r="273" spans="1:12">
      <c r="A273" s="203"/>
      <c r="B273" s="201"/>
      <c r="C273" s="394"/>
      <c r="D273" s="247" t="s">
        <v>84</v>
      </c>
      <c r="E273" s="216"/>
      <c r="F273" s="216"/>
      <c r="G273" s="357">
        <v>75</v>
      </c>
      <c r="H273" s="233"/>
      <c r="I273" s="357">
        <v>60</v>
      </c>
      <c r="J273" s="234"/>
      <c r="K273">
        <v>27</v>
      </c>
      <c r="L273">
        <f>K273*G273/1000</f>
        <v>2.0249999999999999</v>
      </c>
    </row>
    <row r="274" spans="1:12">
      <c r="A274" s="203"/>
      <c r="B274" s="201"/>
      <c r="C274" s="394"/>
      <c r="D274" s="247" t="s">
        <v>85</v>
      </c>
      <c r="E274" s="211"/>
      <c r="F274" s="211"/>
      <c r="G274" s="357">
        <v>10</v>
      </c>
      <c r="H274" s="235"/>
      <c r="I274" s="357">
        <v>8</v>
      </c>
      <c r="J274" s="236"/>
      <c r="K274">
        <v>30</v>
      </c>
      <c r="L274">
        <f t="shared" ref="L274:L283" si="29">K274*G274/1000</f>
        <v>0.3</v>
      </c>
    </row>
    <row r="275" spans="1:12">
      <c r="A275" s="203"/>
      <c r="B275" s="201"/>
      <c r="C275" s="394"/>
      <c r="D275" s="247" t="s">
        <v>86</v>
      </c>
      <c r="E275" s="211"/>
      <c r="F275" s="211"/>
      <c r="G275" s="357">
        <v>9.5</v>
      </c>
      <c r="H275" s="235"/>
      <c r="I275" s="357">
        <v>8</v>
      </c>
      <c r="J275" s="236"/>
      <c r="K275">
        <v>20</v>
      </c>
      <c r="L275">
        <f t="shared" si="29"/>
        <v>0.19</v>
      </c>
    </row>
    <row r="276" spans="1:12">
      <c r="A276" s="203"/>
      <c r="B276" s="201"/>
      <c r="C276" s="394"/>
      <c r="D276" s="247" t="s">
        <v>81</v>
      </c>
      <c r="E276" s="211"/>
      <c r="F276" s="211"/>
      <c r="G276" s="256">
        <v>2.4</v>
      </c>
      <c r="H276" s="235"/>
      <c r="I276" s="256">
        <v>2.4</v>
      </c>
      <c r="J276" s="236"/>
      <c r="K276">
        <v>140</v>
      </c>
      <c r="L276">
        <f t="shared" si="29"/>
        <v>0.33600000000000002</v>
      </c>
    </row>
    <row r="277" spans="1:12">
      <c r="A277" s="203"/>
      <c r="B277" s="201"/>
      <c r="C277" s="394"/>
      <c r="D277" s="247" t="s">
        <v>25</v>
      </c>
      <c r="E277" s="211"/>
      <c r="F277" s="211"/>
      <c r="G277" s="357">
        <v>4</v>
      </c>
      <c r="H277" s="211"/>
      <c r="I277" s="357">
        <v>4</v>
      </c>
      <c r="J277" s="236"/>
      <c r="K277">
        <v>65</v>
      </c>
      <c r="L277">
        <f t="shared" si="29"/>
        <v>0.26</v>
      </c>
    </row>
    <row r="278" spans="1:12">
      <c r="A278" s="203"/>
      <c r="B278" s="201"/>
      <c r="C278" s="394"/>
      <c r="D278" s="247" t="s">
        <v>346</v>
      </c>
      <c r="E278" s="211"/>
      <c r="F278" s="211"/>
      <c r="G278" s="357">
        <v>4</v>
      </c>
      <c r="H278" s="235"/>
      <c r="I278" s="357">
        <v>4</v>
      </c>
      <c r="J278" s="236"/>
      <c r="L278">
        <f t="shared" si="29"/>
        <v>0</v>
      </c>
    </row>
    <row r="279" spans="1:12">
      <c r="A279" s="203"/>
      <c r="B279" s="201"/>
      <c r="C279" s="394"/>
      <c r="D279" s="247" t="s">
        <v>347</v>
      </c>
      <c r="E279" s="211"/>
      <c r="F279" s="211"/>
      <c r="G279" s="357">
        <v>4</v>
      </c>
      <c r="H279" s="235"/>
      <c r="I279" s="357">
        <v>4</v>
      </c>
      <c r="J279" s="236"/>
      <c r="L279">
        <f t="shared" si="29"/>
        <v>0</v>
      </c>
    </row>
    <row r="280" spans="1:12">
      <c r="A280" s="203"/>
      <c r="B280" s="201"/>
      <c r="C280" s="394"/>
      <c r="D280" s="247" t="s">
        <v>27</v>
      </c>
      <c r="E280" s="211"/>
      <c r="F280" s="211"/>
      <c r="G280" s="357">
        <v>152</v>
      </c>
      <c r="H280" s="235"/>
      <c r="I280" s="357">
        <v>152</v>
      </c>
      <c r="J280" s="236"/>
      <c r="L280">
        <f t="shared" si="29"/>
        <v>0</v>
      </c>
    </row>
    <row r="281" spans="1:12">
      <c r="A281" s="203"/>
      <c r="B281" s="201"/>
      <c r="C281" s="394"/>
      <c r="D281" s="247" t="s">
        <v>89</v>
      </c>
      <c r="E281" s="211"/>
      <c r="F281" s="211"/>
      <c r="G281" s="357">
        <v>152</v>
      </c>
      <c r="H281" s="235"/>
      <c r="I281" s="357">
        <v>152</v>
      </c>
      <c r="J281" s="236"/>
      <c r="L281">
        <f t="shared" si="29"/>
        <v>0</v>
      </c>
    </row>
    <row r="282" spans="1:12">
      <c r="A282" s="203"/>
      <c r="B282" s="201"/>
      <c r="C282" s="394"/>
      <c r="D282" s="247" t="s">
        <v>173</v>
      </c>
      <c r="E282" s="211"/>
      <c r="F282" s="211"/>
      <c r="G282" s="357">
        <v>152</v>
      </c>
      <c r="H282" s="235"/>
      <c r="I282" s="357">
        <v>152</v>
      </c>
      <c r="J282" s="236"/>
      <c r="L282">
        <f t="shared" si="29"/>
        <v>0</v>
      </c>
    </row>
    <row r="283" spans="1:12">
      <c r="A283" s="203"/>
      <c r="B283" s="201"/>
      <c r="C283" s="394"/>
      <c r="D283" s="247" t="s">
        <v>29</v>
      </c>
      <c r="E283" s="220"/>
      <c r="F283" s="220"/>
      <c r="G283" s="357">
        <v>0.2</v>
      </c>
      <c r="H283" s="257"/>
      <c r="I283" s="357">
        <v>0.2</v>
      </c>
      <c r="J283" s="238"/>
      <c r="K283">
        <v>17</v>
      </c>
      <c r="L283">
        <f t="shared" si="29"/>
        <v>3.4000000000000002E-3</v>
      </c>
    </row>
    <row r="284" spans="1:12">
      <c r="A284" s="203"/>
      <c r="B284" s="201"/>
      <c r="C284" s="394"/>
      <c r="D284" s="252" t="s">
        <v>21</v>
      </c>
      <c r="E284" s="222"/>
      <c r="F284" s="222"/>
      <c r="G284" s="370">
        <v>200</v>
      </c>
      <c r="H284" s="355"/>
      <c r="I284" s="258"/>
      <c r="J284" s="223"/>
    </row>
    <row r="285" spans="1:12">
      <c r="A285" s="203"/>
      <c r="B285" s="201"/>
      <c r="C285" s="394"/>
      <c r="D285" s="203"/>
      <c r="E285" s="203"/>
      <c r="F285" s="203"/>
      <c r="G285" s="203"/>
      <c r="H285" s="203"/>
      <c r="I285" s="203"/>
      <c r="J285" s="203"/>
    </row>
    <row r="286" spans="1:12">
      <c r="A286" s="203"/>
      <c r="B286" s="208" t="s">
        <v>360</v>
      </c>
      <c r="C286" s="394">
        <v>240</v>
      </c>
      <c r="D286" s="203"/>
      <c r="E286" s="203"/>
      <c r="F286" s="203"/>
      <c r="G286" s="203"/>
      <c r="H286" s="203"/>
      <c r="I286" s="203"/>
      <c r="J286" s="203"/>
      <c r="L286" s="269">
        <f>SUM(L287:L295)</f>
        <v>46.762799999999999</v>
      </c>
    </row>
    <row r="287" spans="1:12">
      <c r="A287" s="203"/>
      <c r="B287" s="201"/>
      <c r="C287" s="394"/>
      <c r="D287" s="361" t="s">
        <v>175</v>
      </c>
      <c r="E287" s="362"/>
      <c r="F287" s="362"/>
      <c r="G287" s="357">
        <v>146.74</v>
      </c>
      <c r="H287" s="203"/>
      <c r="I287" s="357">
        <v>108.34</v>
      </c>
      <c r="J287" s="203"/>
      <c r="L287">
        <f t="shared" ref="L287:L294" si="30">K287*G287/1000</f>
        <v>0</v>
      </c>
    </row>
    <row r="288" spans="1:12">
      <c r="A288" s="203"/>
      <c r="B288" s="201"/>
      <c r="C288" s="394"/>
      <c r="D288" s="361" t="s">
        <v>176</v>
      </c>
      <c r="E288" s="362"/>
      <c r="F288" s="362"/>
      <c r="G288" s="357">
        <v>146.74</v>
      </c>
      <c r="H288" s="203"/>
      <c r="I288" s="357">
        <v>108.34</v>
      </c>
      <c r="J288" s="203"/>
      <c r="L288">
        <f t="shared" si="30"/>
        <v>0</v>
      </c>
    </row>
    <row r="289" spans="1:12">
      <c r="A289" s="203"/>
      <c r="B289" s="201"/>
      <c r="C289" s="394"/>
      <c r="D289" s="361" t="s">
        <v>177</v>
      </c>
      <c r="E289" s="362"/>
      <c r="F289" s="362"/>
      <c r="G289" s="357">
        <v>119.3</v>
      </c>
      <c r="H289" s="203"/>
      <c r="I289" s="357">
        <v>101.5</v>
      </c>
      <c r="J289" s="203"/>
      <c r="K289">
        <v>330</v>
      </c>
      <c r="L289">
        <f t="shared" si="30"/>
        <v>39.369</v>
      </c>
    </row>
    <row r="290" spans="1:12">
      <c r="A290" s="203"/>
      <c r="B290" s="201"/>
      <c r="C290" s="394"/>
      <c r="D290" s="361" t="s">
        <v>178</v>
      </c>
      <c r="E290" s="362"/>
      <c r="F290" s="362"/>
      <c r="G290" s="357">
        <v>119.3</v>
      </c>
      <c r="H290" s="203"/>
      <c r="I290" s="357">
        <v>101.5</v>
      </c>
      <c r="J290" s="203"/>
      <c r="L290">
        <f t="shared" si="30"/>
        <v>0</v>
      </c>
    </row>
    <row r="291" spans="1:12">
      <c r="A291" s="203"/>
      <c r="B291" s="201"/>
      <c r="C291" s="394"/>
      <c r="D291" s="361" t="s">
        <v>84</v>
      </c>
      <c r="E291" s="362"/>
      <c r="F291" s="362"/>
      <c r="G291" s="357">
        <v>182.4</v>
      </c>
      <c r="H291" s="203"/>
      <c r="I291" s="357">
        <v>137.13999999999999</v>
      </c>
      <c r="J291" s="203"/>
      <c r="K291">
        <v>27</v>
      </c>
      <c r="L291">
        <f t="shared" si="30"/>
        <v>4.9248000000000003</v>
      </c>
    </row>
    <row r="292" spans="1:12">
      <c r="A292" s="203"/>
      <c r="B292" s="201"/>
      <c r="C292" s="394"/>
      <c r="D292" s="361" t="s">
        <v>86</v>
      </c>
      <c r="E292" s="362"/>
      <c r="F292" s="362"/>
      <c r="G292" s="357">
        <v>16.46</v>
      </c>
      <c r="H292" s="203"/>
      <c r="I292" s="357">
        <v>13.7</v>
      </c>
      <c r="J292" s="203"/>
      <c r="K292">
        <v>20</v>
      </c>
      <c r="L292">
        <f t="shared" si="30"/>
        <v>0.32920000000000005</v>
      </c>
    </row>
    <row r="293" spans="1:12">
      <c r="A293" s="203"/>
      <c r="B293" s="201"/>
      <c r="C293" s="394"/>
      <c r="D293" s="361" t="s">
        <v>87</v>
      </c>
      <c r="E293" s="362"/>
      <c r="F293" s="362"/>
      <c r="G293" s="357">
        <v>8.23</v>
      </c>
      <c r="H293" s="203"/>
      <c r="I293" s="357">
        <v>8.23</v>
      </c>
      <c r="J293" s="203"/>
      <c r="K293">
        <v>120</v>
      </c>
      <c r="L293">
        <f t="shared" si="30"/>
        <v>0.98760000000000003</v>
      </c>
    </row>
    <row r="294" spans="1:12">
      <c r="A294" s="203"/>
      <c r="B294" s="201"/>
      <c r="C294" s="394"/>
      <c r="D294" s="361" t="s">
        <v>81</v>
      </c>
      <c r="E294" s="362"/>
      <c r="F294" s="362"/>
      <c r="G294" s="357">
        <v>8.23</v>
      </c>
      <c r="H294" s="203"/>
      <c r="I294" s="357">
        <v>8.23</v>
      </c>
      <c r="J294" s="203"/>
      <c r="K294">
        <v>140</v>
      </c>
      <c r="L294">
        <f t="shared" si="30"/>
        <v>1.1522000000000001</v>
      </c>
    </row>
    <row r="295" spans="1:12">
      <c r="A295" s="203"/>
      <c r="B295" s="201"/>
      <c r="C295" s="394"/>
      <c r="D295" s="361" t="s">
        <v>179</v>
      </c>
      <c r="E295" s="362"/>
      <c r="F295" s="362"/>
      <c r="G295" s="357" t="s">
        <v>30</v>
      </c>
      <c r="H295" s="203"/>
      <c r="I295" s="357">
        <v>68.569999999999993</v>
      </c>
      <c r="J295" s="203"/>
    </row>
    <row r="296" spans="1:12" s="50" customFormat="1">
      <c r="A296" s="203"/>
      <c r="B296" s="201"/>
      <c r="C296" s="394"/>
      <c r="D296" s="361" t="s">
        <v>180</v>
      </c>
      <c r="E296" s="362"/>
      <c r="F296" s="362"/>
      <c r="G296" s="357" t="s">
        <v>30</v>
      </c>
      <c r="H296" s="203"/>
      <c r="I296" s="357">
        <v>171.43</v>
      </c>
      <c r="J296" s="203"/>
      <c r="K296"/>
      <c r="L296"/>
    </row>
    <row r="297" spans="1:12" ht="27.75" customHeight="1">
      <c r="A297" s="203"/>
      <c r="B297" s="201"/>
      <c r="C297" s="394"/>
      <c r="D297" s="389" t="s">
        <v>21</v>
      </c>
      <c r="E297" s="390"/>
      <c r="F297" s="390"/>
      <c r="G297" s="357">
        <v>240</v>
      </c>
      <c r="H297" s="357"/>
      <c r="I297" s="203"/>
      <c r="J297" s="203"/>
    </row>
    <row r="298" spans="1:12">
      <c r="A298" s="203"/>
      <c r="B298" s="201"/>
      <c r="C298" s="394"/>
      <c r="D298" s="203"/>
      <c r="E298" s="203"/>
      <c r="F298" s="203"/>
      <c r="G298" s="203"/>
      <c r="H298" s="203"/>
      <c r="I298" s="203"/>
      <c r="J298" s="203"/>
    </row>
    <row r="299" spans="1:12">
      <c r="A299" s="203"/>
      <c r="B299" s="201" t="s">
        <v>5</v>
      </c>
      <c r="C299" s="394">
        <v>200</v>
      </c>
      <c r="D299" s="203"/>
      <c r="E299" s="203"/>
      <c r="F299" s="203"/>
      <c r="G299" s="347" t="s">
        <v>181</v>
      </c>
      <c r="H299" s="347"/>
      <c r="I299" s="347" t="s">
        <v>182</v>
      </c>
      <c r="J299" s="347"/>
      <c r="L299" s="204">
        <f>L300+L301+L302</f>
        <v>2.2000000000000002</v>
      </c>
    </row>
    <row r="300" spans="1:12">
      <c r="A300" s="203"/>
      <c r="B300" s="201"/>
      <c r="C300" s="394"/>
      <c r="D300" s="348" t="s">
        <v>157</v>
      </c>
      <c r="E300" s="348"/>
      <c r="F300" s="348"/>
      <c r="G300" s="349">
        <v>0.6</v>
      </c>
      <c r="H300" s="349"/>
      <c r="I300" s="349">
        <v>0.6</v>
      </c>
      <c r="J300" s="349"/>
      <c r="K300">
        <v>500</v>
      </c>
      <c r="L300" s="4">
        <f t="shared" ref="L300:L302" si="31">K300/1000*G300</f>
        <v>0.3</v>
      </c>
    </row>
    <row r="301" spans="1:12">
      <c r="A301" s="203"/>
      <c r="B301" s="201"/>
      <c r="C301" s="394"/>
      <c r="D301" s="350" t="s">
        <v>103</v>
      </c>
      <c r="E301" s="351"/>
      <c r="F301" s="351"/>
      <c r="G301" s="352">
        <v>15</v>
      </c>
      <c r="H301" s="353"/>
      <c r="I301" s="352">
        <v>15</v>
      </c>
      <c r="J301" s="353"/>
      <c r="K301">
        <v>55</v>
      </c>
      <c r="L301" s="4">
        <f t="shared" si="31"/>
        <v>0.82499999999999996</v>
      </c>
    </row>
    <row r="302" spans="1:12">
      <c r="A302" s="203"/>
      <c r="B302" s="201"/>
      <c r="C302" s="394"/>
      <c r="D302" s="350" t="s">
        <v>172</v>
      </c>
      <c r="E302" s="351"/>
      <c r="F302" s="351"/>
      <c r="G302" s="352">
        <v>5</v>
      </c>
      <c r="H302" s="353"/>
      <c r="I302" s="352">
        <v>4</v>
      </c>
      <c r="J302" s="353"/>
      <c r="K302">
        <v>215</v>
      </c>
      <c r="L302" s="4">
        <f t="shared" si="31"/>
        <v>1.075</v>
      </c>
    </row>
    <row r="303" spans="1:12">
      <c r="A303" s="203"/>
      <c r="B303" s="201"/>
      <c r="C303" s="394"/>
      <c r="D303" s="354" t="s">
        <v>74</v>
      </c>
      <c r="E303" s="354"/>
      <c r="F303" s="354"/>
      <c r="G303" s="355" t="s">
        <v>30</v>
      </c>
      <c r="H303" s="355"/>
      <c r="I303" s="355" t="s">
        <v>223</v>
      </c>
      <c r="J303" s="355"/>
    </row>
    <row r="304" spans="1:12">
      <c r="A304" s="203"/>
      <c r="B304" s="201"/>
      <c r="C304" s="394"/>
      <c r="D304" s="203"/>
      <c r="E304" s="203"/>
      <c r="F304" s="203"/>
      <c r="G304" s="203"/>
      <c r="H304" s="203"/>
      <c r="I304" s="203"/>
      <c r="J304" s="203"/>
    </row>
    <row r="305" spans="1:12">
      <c r="A305" s="203"/>
      <c r="B305" s="201" t="s">
        <v>263</v>
      </c>
      <c r="C305" s="394">
        <v>40</v>
      </c>
      <c r="D305" s="348" t="s">
        <v>263</v>
      </c>
      <c r="E305" s="348"/>
      <c r="F305" s="348"/>
      <c r="G305" s="349">
        <v>40</v>
      </c>
      <c r="H305" s="349"/>
      <c r="I305" s="349">
        <v>40</v>
      </c>
      <c r="J305" s="349"/>
      <c r="K305">
        <v>29.72</v>
      </c>
      <c r="L305" s="254">
        <f>K305/1000*G305</f>
        <v>1.1888000000000001</v>
      </c>
    </row>
    <row r="306" spans="1:12">
      <c r="A306" s="203"/>
      <c r="B306" s="201"/>
      <c r="C306" s="394"/>
      <c r="D306" s="203"/>
      <c r="E306" s="203"/>
      <c r="F306" s="203"/>
      <c r="G306" s="203"/>
      <c r="H306" s="203"/>
      <c r="I306" s="203"/>
      <c r="J306" s="203"/>
    </row>
    <row r="307" spans="1:12">
      <c r="A307" s="203"/>
      <c r="B307" s="201" t="s">
        <v>4</v>
      </c>
      <c r="C307" s="394">
        <v>30</v>
      </c>
      <c r="D307" s="348" t="s">
        <v>4</v>
      </c>
      <c r="E307" s="348"/>
      <c r="F307" s="348"/>
      <c r="G307" s="349">
        <v>30</v>
      </c>
      <c r="H307" s="349"/>
      <c r="I307" s="349">
        <v>30</v>
      </c>
      <c r="J307" s="349"/>
      <c r="K307">
        <v>45.54</v>
      </c>
      <c r="L307" s="254">
        <f>K307/1000*G307</f>
        <v>1.3661999999999999</v>
      </c>
    </row>
    <row r="308" spans="1:12">
      <c r="A308" s="203" t="s">
        <v>383</v>
      </c>
      <c r="B308" s="201"/>
      <c r="C308" s="394"/>
      <c r="D308" s="203"/>
      <c r="E308" s="203"/>
      <c r="F308" s="203"/>
      <c r="G308" s="203"/>
      <c r="H308" s="203"/>
      <c r="I308" s="203"/>
      <c r="J308" s="203"/>
    </row>
    <row r="309" spans="1:12" ht="15" customHeight="1">
      <c r="A309" s="203"/>
      <c r="B309" s="208" t="s">
        <v>63</v>
      </c>
      <c r="C309" s="394">
        <v>100</v>
      </c>
      <c r="D309" s="203"/>
      <c r="E309" s="203"/>
      <c r="F309" s="203"/>
      <c r="G309" s="368" t="s">
        <v>181</v>
      </c>
      <c r="H309" s="368"/>
      <c r="I309" s="368" t="s">
        <v>182</v>
      </c>
      <c r="J309" s="368"/>
      <c r="L309" s="243">
        <f>SUM(L310:L314)</f>
        <v>9.1440000000000001</v>
      </c>
    </row>
    <row r="310" spans="1:12" ht="15" customHeight="1">
      <c r="A310" s="203"/>
      <c r="B310" s="201" t="s">
        <v>315</v>
      </c>
      <c r="C310" s="394"/>
      <c r="D310" s="369" t="s">
        <v>97</v>
      </c>
      <c r="E310" s="369"/>
      <c r="F310" s="369"/>
      <c r="G310" s="357">
        <v>60.78</v>
      </c>
      <c r="H310" s="357"/>
      <c r="I310" s="357">
        <v>48.6</v>
      </c>
      <c r="J310" s="357"/>
      <c r="K310">
        <v>140</v>
      </c>
      <c r="L310">
        <f>G310*K310/1000</f>
        <v>8.5091999999999999</v>
      </c>
    </row>
    <row r="311" spans="1:12" ht="15" customHeight="1">
      <c r="A311" s="203"/>
      <c r="B311" s="201"/>
      <c r="C311" s="394"/>
      <c r="D311" s="369" t="s">
        <v>98</v>
      </c>
      <c r="E311" s="369"/>
      <c r="F311" s="369"/>
      <c r="G311" s="357">
        <v>11.28</v>
      </c>
      <c r="H311" s="357"/>
      <c r="I311" s="357">
        <v>9</v>
      </c>
      <c r="J311" s="357"/>
      <c r="L311">
        <f t="shared" ref="L311:L314" si="32">G311*K311/1000</f>
        <v>0</v>
      </c>
    </row>
    <row r="312" spans="1:12" ht="15" customHeight="1">
      <c r="A312" s="203"/>
      <c r="B312" s="201"/>
      <c r="C312" s="394"/>
      <c r="D312" s="369" t="s">
        <v>99</v>
      </c>
      <c r="E312" s="369"/>
      <c r="F312" s="369"/>
      <c r="G312" s="357">
        <v>10.74</v>
      </c>
      <c r="H312" s="357"/>
      <c r="I312" s="357">
        <v>9</v>
      </c>
      <c r="J312" s="357"/>
      <c r="K312">
        <v>20</v>
      </c>
      <c r="L312">
        <f t="shared" si="32"/>
        <v>0.21480000000000002</v>
      </c>
    </row>
    <row r="313" spans="1:12" ht="15.75" customHeight="1">
      <c r="A313" s="203"/>
      <c r="B313" s="201"/>
      <c r="C313" s="394"/>
      <c r="D313" s="369" t="s">
        <v>81</v>
      </c>
      <c r="E313" s="369"/>
      <c r="F313" s="369"/>
      <c r="G313" s="357">
        <v>3</v>
      </c>
      <c r="H313" s="357"/>
      <c r="I313" s="357">
        <v>3</v>
      </c>
      <c r="J313" s="357"/>
      <c r="K313">
        <v>140</v>
      </c>
      <c r="L313">
        <f t="shared" si="32"/>
        <v>0.42</v>
      </c>
    </row>
    <row r="314" spans="1:12">
      <c r="A314" s="203"/>
      <c r="B314" s="201"/>
      <c r="C314" s="394"/>
      <c r="D314" s="371" t="s">
        <v>21</v>
      </c>
      <c r="E314" s="371"/>
      <c r="F314" s="371"/>
      <c r="G314" s="357">
        <v>60</v>
      </c>
      <c r="H314" s="357"/>
      <c r="I314" s="244"/>
      <c r="J314" s="244"/>
      <c r="L314">
        <f t="shared" si="32"/>
        <v>0</v>
      </c>
    </row>
    <row r="315" spans="1:12">
      <c r="A315" s="203"/>
      <c r="B315" s="201"/>
      <c r="C315" s="394"/>
      <c r="D315" s="221"/>
      <c r="E315" s="222"/>
      <c r="F315" s="222"/>
      <c r="G315" s="370"/>
      <c r="H315" s="370"/>
      <c r="I315" s="356"/>
      <c r="J315" s="356"/>
    </row>
    <row r="316" spans="1:12">
      <c r="A316" s="203"/>
      <c r="B316" s="201" t="s">
        <v>332</v>
      </c>
      <c r="C316" s="394">
        <v>100</v>
      </c>
      <c r="D316" s="203"/>
      <c r="E316" s="203"/>
      <c r="F316" s="203"/>
      <c r="G316" s="203"/>
      <c r="H316" s="203"/>
      <c r="I316" s="203"/>
      <c r="J316" s="203"/>
      <c r="L316" s="269">
        <f>SUM(L317:L321)</f>
        <v>7.1791399999999994</v>
      </c>
    </row>
    <row r="317" spans="1:12">
      <c r="A317" s="203"/>
      <c r="B317" s="201"/>
      <c r="C317" s="394"/>
      <c r="D317" s="348" t="s">
        <v>333</v>
      </c>
      <c r="E317" s="348"/>
      <c r="F317" s="348"/>
      <c r="G317" s="349">
        <v>27</v>
      </c>
      <c r="H317" s="349"/>
      <c r="I317" s="349">
        <v>26</v>
      </c>
      <c r="J317" s="349"/>
      <c r="K317">
        <v>120</v>
      </c>
      <c r="L317" s="251">
        <f t="shared" ref="L317:L321" si="33">K317/1000*G317</f>
        <v>3.2399999999999998</v>
      </c>
    </row>
    <row r="318" spans="1:12">
      <c r="A318" s="203"/>
      <c r="B318" s="201"/>
      <c r="C318" s="394"/>
      <c r="D318" s="350" t="s">
        <v>334</v>
      </c>
      <c r="E318" s="351"/>
      <c r="F318" s="351"/>
      <c r="G318" s="352">
        <v>31</v>
      </c>
      <c r="H318" s="353"/>
      <c r="I318" s="352">
        <v>30</v>
      </c>
      <c r="J318" s="353"/>
      <c r="K318">
        <v>100</v>
      </c>
      <c r="L318" s="251">
        <f t="shared" si="33"/>
        <v>3.1</v>
      </c>
    </row>
    <row r="319" spans="1:12">
      <c r="A319" s="203"/>
      <c r="B319" s="201"/>
      <c r="C319" s="394"/>
      <c r="D319" s="350" t="s">
        <v>98</v>
      </c>
      <c r="E319" s="351"/>
      <c r="F319" s="351"/>
      <c r="G319" s="352">
        <v>4</v>
      </c>
      <c r="H319" s="353"/>
      <c r="I319" s="352">
        <v>4</v>
      </c>
      <c r="J319" s="353"/>
      <c r="K319">
        <v>137.66</v>
      </c>
      <c r="L319" s="251">
        <f t="shared" si="33"/>
        <v>0.55064000000000002</v>
      </c>
    </row>
    <row r="320" spans="1:12">
      <c r="A320" s="203"/>
      <c r="B320" s="201"/>
      <c r="C320" s="394"/>
      <c r="D320" s="350" t="s">
        <v>81</v>
      </c>
      <c r="E320" s="351"/>
      <c r="F320" s="351"/>
      <c r="G320" s="352">
        <v>2</v>
      </c>
      <c r="H320" s="353"/>
      <c r="I320" s="352">
        <v>2</v>
      </c>
      <c r="J320" s="353"/>
      <c r="K320">
        <v>140</v>
      </c>
      <c r="L320" s="251">
        <f t="shared" si="33"/>
        <v>0.28000000000000003</v>
      </c>
    </row>
    <row r="321" spans="1:12">
      <c r="A321" s="203"/>
      <c r="B321" s="201"/>
      <c r="C321" s="394"/>
      <c r="D321" s="348" t="s">
        <v>94</v>
      </c>
      <c r="E321" s="348"/>
      <c r="F321" s="348"/>
      <c r="G321" s="349">
        <v>0.5</v>
      </c>
      <c r="H321" s="349"/>
      <c r="I321" s="349">
        <v>0.5</v>
      </c>
      <c r="J321" s="349"/>
      <c r="K321">
        <v>17</v>
      </c>
      <c r="L321" s="251">
        <f t="shared" si="33"/>
        <v>8.5000000000000006E-3</v>
      </c>
    </row>
    <row r="322" spans="1:12">
      <c r="A322" s="203"/>
      <c r="B322" s="201"/>
      <c r="C322" s="394"/>
      <c r="D322" s="354" t="s">
        <v>74</v>
      </c>
      <c r="E322" s="354"/>
      <c r="F322" s="354"/>
      <c r="G322" s="355" t="s">
        <v>30</v>
      </c>
      <c r="H322" s="355"/>
      <c r="I322" s="356">
        <v>60</v>
      </c>
      <c r="J322" s="356"/>
      <c r="L322" s="251"/>
    </row>
    <row r="323" spans="1:12">
      <c r="A323" s="203"/>
      <c r="B323" s="201"/>
      <c r="C323" s="394"/>
      <c r="D323" s="203"/>
      <c r="E323" s="203"/>
      <c r="F323" s="203"/>
      <c r="G323" s="203"/>
      <c r="H323" s="203"/>
      <c r="I323" s="203"/>
      <c r="J323" s="203"/>
    </row>
    <row r="324" spans="1:12">
      <c r="A324" s="203"/>
      <c r="B324" s="246" t="s">
        <v>292</v>
      </c>
      <c r="C324" s="394">
        <v>250</v>
      </c>
      <c r="D324" s="203"/>
      <c r="E324" s="203"/>
      <c r="F324" s="203"/>
      <c r="G324" s="368" t="s">
        <v>181</v>
      </c>
      <c r="H324" s="347"/>
      <c r="I324" s="368" t="s">
        <v>182</v>
      </c>
      <c r="J324" s="347"/>
      <c r="L324" s="243">
        <f>SUM(L325:L339)</f>
        <v>6.3070000000000013</v>
      </c>
    </row>
    <row r="325" spans="1:12">
      <c r="A325" s="203"/>
      <c r="B325" s="201"/>
      <c r="C325" s="394"/>
      <c r="D325" s="348" t="s">
        <v>116</v>
      </c>
      <c r="E325" s="348"/>
      <c r="F325" s="348"/>
      <c r="G325" s="349">
        <v>38</v>
      </c>
      <c r="H325" s="349"/>
      <c r="I325" s="349">
        <v>30</v>
      </c>
      <c r="J325" s="349"/>
      <c r="K325">
        <v>35</v>
      </c>
      <c r="L325">
        <f>G325*K325/1000</f>
        <v>1.33</v>
      </c>
    </row>
    <row r="326" spans="1:12" ht="4.5" customHeight="1">
      <c r="A326" s="203"/>
      <c r="B326" s="201"/>
      <c r="C326" s="394"/>
      <c r="D326" s="350" t="s">
        <v>102</v>
      </c>
      <c r="E326" s="351"/>
      <c r="F326" s="351"/>
      <c r="G326" s="352">
        <v>23</v>
      </c>
      <c r="H326" s="353"/>
      <c r="I326" s="352">
        <v>18</v>
      </c>
      <c r="J326" s="353"/>
      <c r="K326">
        <v>45</v>
      </c>
      <c r="L326">
        <f t="shared" ref="L326:L337" si="34">G326*K326/1000</f>
        <v>1.0349999999999999</v>
      </c>
    </row>
    <row r="327" spans="1:12">
      <c r="A327" s="203"/>
      <c r="B327" s="201"/>
      <c r="C327" s="394"/>
      <c r="D327" s="350" t="s">
        <v>84</v>
      </c>
      <c r="E327" s="351"/>
      <c r="F327" s="351"/>
      <c r="G327" s="352">
        <v>27</v>
      </c>
      <c r="H327" s="353"/>
      <c r="I327" s="352">
        <v>20</v>
      </c>
      <c r="J327" s="353"/>
      <c r="K327">
        <v>27</v>
      </c>
      <c r="L327">
        <f t="shared" si="34"/>
        <v>0.72899999999999998</v>
      </c>
    </row>
    <row r="328" spans="1:12">
      <c r="A328" s="203"/>
      <c r="B328" s="201"/>
      <c r="C328" s="394"/>
      <c r="D328" s="350" t="s">
        <v>85</v>
      </c>
      <c r="E328" s="351"/>
      <c r="F328" s="351"/>
      <c r="G328" s="352">
        <v>8.5</v>
      </c>
      <c r="H328" s="353"/>
      <c r="I328" s="352">
        <v>7</v>
      </c>
      <c r="J328" s="353"/>
      <c r="K328">
        <v>30</v>
      </c>
      <c r="L328">
        <f t="shared" si="34"/>
        <v>0.255</v>
      </c>
    </row>
    <row r="329" spans="1:12">
      <c r="A329" s="203"/>
      <c r="B329" s="201"/>
      <c r="C329" s="394"/>
      <c r="D329" s="350" t="s">
        <v>86</v>
      </c>
      <c r="E329" s="351"/>
      <c r="F329" s="351"/>
      <c r="G329" s="352">
        <v>8</v>
      </c>
      <c r="H329" s="353"/>
      <c r="I329" s="352">
        <v>7</v>
      </c>
      <c r="J329" s="353"/>
      <c r="K329">
        <v>20</v>
      </c>
      <c r="L329">
        <f t="shared" si="34"/>
        <v>0.16</v>
      </c>
    </row>
    <row r="330" spans="1:12">
      <c r="A330" s="203"/>
      <c r="B330" s="201"/>
      <c r="C330" s="394"/>
      <c r="D330" s="350" t="s">
        <v>361</v>
      </c>
      <c r="E330" s="351"/>
      <c r="F330" s="351"/>
      <c r="G330" s="352">
        <v>3</v>
      </c>
      <c r="H330" s="353"/>
      <c r="I330" s="352">
        <v>3</v>
      </c>
      <c r="J330" s="353"/>
      <c r="K330">
        <v>200</v>
      </c>
      <c r="L330">
        <f t="shared" si="34"/>
        <v>0.6</v>
      </c>
    </row>
    <row r="331" spans="1:12">
      <c r="A331" s="203"/>
      <c r="B331" s="201"/>
      <c r="C331" s="394"/>
      <c r="D331" s="350" t="s">
        <v>362</v>
      </c>
      <c r="E331" s="351"/>
      <c r="F331" s="351"/>
      <c r="G331" s="352">
        <v>3</v>
      </c>
      <c r="H331" s="353"/>
      <c r="I331" s="352">
        <v>3</v>
      </c>
      <c r="J331" s="353"/>
      <c r="K331">
        <v>140</v>
      </c>
      <c r="L331">
        <f t="shared" si="34"/>
        <v>0.42</v>
      </c>
    </row>
    <row r="332" spans="1:12">
      <c r="A332" s="203"/>
      <c r="B332" s="201"/>
      <c r="C332" s="394"/>
      <c r="D332" s="350" t="s">
        <v>20</v>
      </c>
      <c r="E332" s="351"/>
      <c r="F332" s="351"/>
      <c r="G332" s="352">
        <v>3</v>
      </c>
      <c r="H332" s="353"/>
      <c r="I332" s="352">
        <v>3</v>
      </c>
      <c r="J332" s="353"/>
      <c r="K332">
        <v>550</v>
      </c>
      <c r="L332">
        <f t="shared" si="34"/>
        <v>1.65</v>
      </c>
    </row>
    <row r="333" spans="1:12">
      <c r="A333" s="203"/>
      <c r="B333" s="201"/>
      <c r="C333" s="394"/>
      <c r="D333" s="350" t="s">
        <v>103</v>
      </c>
      <c r="E333" s="351"/>
      <c r="F333" s="351"/>
      <c r="G333" s="352">
        <v>2</v>
      </c>
      <c r="H333" s="353"/>
      <c r="I333" s="352">
        <v>2</v>
      </c>
      <c r="J333" s="353"/>
      <c r="K333">
        <v>55</v>
      </c>
      <c r="L333">
        <f t="shared" si="34"/>
        <v>0.11</v>
      </c>
    </row>
    <row r="334" spans="1:12">
      <c r="A334" s="203"/>
      <c r="B334" s="201"/>
      <c r="C334" s="394"/>
      <c r="D334" s="350" t="s">
        <v>363</v>
      </c>
      <c r="E334" s="351"/>
      <c r="F334" s="351"/>
      <c r="G334" s="352">
        <v>1.5</v>
      </c>
      <c r="H334" s="353"/>
      <c r="I334" s="352">
        <v>1.5</v>
      </c>
      <c r="J334" s="353"/>
      <c r="K334" s="250">
        <v>0</v>
      </c>
      <c r="L334">
        <f t="shared" si="34"/>
        <v>0</v>
      </c>
    </row>
    <row r="335" spans="1:12">
      <c r="A335" s="203"/>
      <c r="B335" s="201"/>
      <c r="C335" s="394"/>
      <c r="D335" s="350" t="s">
        <v>364</v>
      </c>
      <c r="E335" s="351"/>
      <c r="F335" s="351"/>
      <c r="G335" s="352">
        <v>160</v>
      </c>
      <c r="H335" s="353"/>
      <c r="I335" s="352">
        <v>160</v>
      </c>
      <c r="J335" s="353"/>
      <c r="K335" s="251"/>
      <c r="L335">
        <f t="shared" si="34"/>
        <v>0</v>
      </c>
    </row>
    <row r="336" spans="1:12">
      <c r="A336" s="203"/>
      <c r="B336" s="201"/>
      <c r="C336" s="394"/>
      <c r="D336" s="348" t="s">
        <v>94</v>
      </c>
      <c r="E336" s="348"/>
      <c r="F336" s="348"/>
      <c r="G336" s="349">
        <v>1</v>
      </c>
      <c r="H336" s="349"/>
      <c r="I336" s="349">
        <v>1</v>
      </c>
      <c r="J336" s="349"/>
      <c r="K336" s="251">
        <v>17</v>
      </c>
      <c r="L336">
        <f t="shared" si="34"/>
        <v>1.7000000000000001E-2</v>
      </c>
    </row>
    <row r="337" spans="1:12" s="50" customFormat="1">
      <c r="A337" s="203"/>
      <c r="B337" s="201"/>
      <c r="C337" s="394"/>
      <c r="D337" s="377" t="s">
        <v>101</v>
      </c>
      <c r="E337" s="378"/>
      <c r="F337" s="378"/>
      <c r="G337" s="391">
        <v>1E-3</v>
      </c>
      <c r="H337" s="392"/>
      <c r="I337" s="391">
        <v>1E-3</v>
      </c>
      <c r="J337" s="392"/>
      <c r="K337" s="251">
        <v>1000</v>
      </c>
      <c r="L337">
        <f t="shared" si="34"/>
        <v>1E-3</v>
      </c>
    </row>
    <row r="338" spans="1:12">
      <c r="A338" s="203"/>
      <c r="B338" s="201"/>
      <c r="C338" s="394"/>
      <c r="D338" s="354" t="s">
        <v>74</v>
      </c>
      <c r="E338" s="354"/>
      <c r="F338" s="354"/>
      <c r="G338" s="355" t="s">
        <v>30</v>
      </c>
      <c r="H338" s="355"/>
      <c r="I338" s="356">
        <v>200</v>
      </c>
      <c r="J338" s="356"/>
      <c r="K338" s="251"/>
    </row>
    <row r="339" spans="1:12">
      <c r="A339" s="203"/>
      <c r="B339" s="201"/>
      <c r="C339" s="394"/>
      <c r="D339" s="252" t="s">
        <v>21</v>
      </c>
      <c r="E339" s="211"/>
      <c r="F339" s="211"/>
      <c r="G339" s="372">
        <v>200</v>
      </c>
      <c r="H339" s="373"/>
      <c r="I339" s="373"/>
      <c r="J339" s="374"/>
      <c r="L339">
        <f t="shared" ref="L339" si="35">G339*K339/1000</f>
        <v>0</v>
      </c>
    </row>
    <row r="340" spans="1:12">
      <c r="A340" s="203"/>
      <c r="B340" s="201"/>
      <c r="C340" s="394"/>
      <c r="D340" s="203"/>
      <c r="E340" s="203"/>
      <c r="F340" s="203"/>
      <c r="G340" s="203"/>
      <c r="H340" s="203"/>
      <c r="I340" s="203"/>
      <c r="J340" s="203"/>
    </row>
    <row r="341" spans="1:12">
      <c r="A341" s="203"/>
      <c r="B341" s="212" t="s">
        <v>218</v>
      </c>
      <c r="C341" s="208">
        <v>100</v>
      </c>
      <c r="D341" s="213"/>
      <c r="E341" s="213"/>
      <c r="F341" s="213"/>
      <c r="G341" s="347" t="s">
        <v>181</v>
      </c>
      <c r="H341" s="347"/>
      <c r="I341" s="347" t="s">
        <v>182</v>
      </c>
      <c r="J341" s="347"/>
      <c r="K341" s="4"/>
      <c r="L341" s="270">
        <f>SUM(L342:L350)</f>
        <v>37.251000000000005</v>
      </c>
    </row>
    <row r="342" spans="1:12">
      <c r="A342" s="203"/>
      <c r="B342" s="215"/>
      <c r="C342" s="208"/>
      <c r="D342" s="365"/>
      <c r="E342" s="366"/>
      <c r="F342" s="366"/>
      <c r="G342" s="349"/>
      <c r="H342" s="349"/>
      <c r="I342" s="217"/>
      <c r="J342" s="218"/>
      <c r="K342" s="4"/>
      <c r="L342" s="4">
        <f>K342/1000*G342</f>
        <v>0</v>
      </c>
    </row>
    <row r="343" spans="1:12">
      <c r="A343" s="203"/>
      <c r="B343" s="215"/>
      <c r="C343" s="208"/>
      <c r="D343" s="361" t="s">
        <v>219</v>
      </c>
      <c r="E343" s="362"/>
      <c r="F343" s="362"/>
      <c r="G343" s="363">
        <v>127.8</v>
      </c>
      <c r="H343" s="364"/>
      <c r="I343" s="359">
        <v>91.8</v>
      </c>
      <c r="J343" s="360"/>
      <c r="K343" s="4">
        <v>270</v>
      </c>
      <c r="L343" s="4">
        <f t="shared" ref="L343:L350" si="36">K343/1000*G343</f>
        <v>34.506</v>
      </c>
    </row>
    <row r="344" spans="1:12">
      <c r="A344" s="203"/>
      <c r="B344" s="215"/>
      <c r="C344" s="208"/>
      <c r="D344" s="361" t="s">
        <v>81</v>
      </c>
      <c r="E344" s="362"/>
      <c r="F344" s="362"/>
      <c r="G344" s="359">
        <v>10.8</v>
      </c>
      <c r="H344" s="360"/>
      <c r="I344" s="359">
        <v>10.8</v>
      </c>
      <c r="J344" s="360"/>
      <c r="K344" s="4">
        <v>140</v>
      </c>
      <c r="L344" s="4">
        <f t="shared" si="36"/>
        <v>1.5120000000000002</v>
      </c>
    </row>
    <row r="345" spans="1:12">
      <c r="A345" s="203"/>
      <c r="B345" s="215"/>
      <c r="C345" s="208"/>
      <c r="D345" s="361" t="s">
        <v>171</v>
      </c>
      <c r="E345" s="362"/>
      <c r="F345" s="362"/>
      <c r="G345" s="359">
        <v>16.2</v>
      </c>
      <c r="H345" s="360"/>
      <c r="I345" s="359">
        <v>16.2</v>
      </c>
      <c r="J345" s="360"/>
      <c r="K345" s="4">
        <v>20</v>
      </c>
      <c r="L345" s="4">
        <f t="shared" si="36"/>
        <v>0.32400000000000001</v>
      </c>
    </row>
    <row r="346" spans="1:12">
      <c r="A346" s="203"/>
      <c r="B346" s="215"/>
      <c r="C346" s="208"/>
      <c r="D346" s="361" t="s">
        <v>111</v>
      </c>
      <c r="E346" s="362"/>
      <c r="F346" s="362"/>
      <c r="G346" s="359">
        <v>5.4</v>
      </c>
      <c r="H346" s="360"/>
      <c r="I346" s="359">
        <v>5.4</v>
      </c>
      <c r="J346" s="360"/>
      <c r="K346" s="4">
        <v>37</v>
      </c>
      <c r="L346" s="4">
        <f t="shared" si="36"/>
        <v>0.19980000000000001</v>
      </c>
    </row>
    <row r="347" spans="1:12">
      <c r="A347" s="203"/>
      <c r="B347" s="215"/>
      <c r="C347" s="208"/>
      <c r="D347" s="361" t="s">
        <v>220</v>
      </c>
      <c r="E347" s="362"/>
      <c r="F347" s="362"/>
      <c r="G347" s="359">
        <v>5.4</v>
      </c>
      <c r="H347" s="360"/>
      <c r="I347" s="359">
        <v>5.4</v>
      </c>
      <c r="J347" s="360"/>
      <c r="K347" s="4">
        <v>120</v>
      </c>
      <c r="L347" s="4">
        <f t="shared" si="36"/>
        <v>0.64800000000000002</v>
      </c>
    </row>
    <row r="348" spans="1:12">
      <c r="A348" s="203"/>
      <c r="B348" s="215"/>
      <c r="C348" s="208"/>
      <c r="D348" s="361" t="s">
        <v>221</v>
      </c>
      <c r="E348" s="362"/>
      <c r="F348" s="362"/>
      <c r="G348" s="359">
        <v>3.6</v>
      </c>
      <c r="H348" s="360"/>
      <c r="I348" s="359">
        <v>3.6</v>
      </c>
      <c r="J348" s="360"/>
      <c r="K348" s="4">
        <v>17</v>
      </c>
      <c r="L348" s="4">
        <f t="shared" si="36"/>
        <v>6.1200000000000004E-2</v>
      </c>
    </row>
    <row r="349" spans="1:12">
      <c r="A349" s="203"/>
      <c r="B349" s="215"/>
      <c r="C349" s="208"/>
      <c r="D349" s="361" t="s">
        <v>21</v>
      </c>
      <c r="E349" s="362"/>
      <c r="F349" s="362"/>
      <c r="G349" s="352">
        <v>90</v>
      </c>
      <c r="H349" s="358"/>
      <c r="I349" s="358"/>
      <c r="J349" s="353"/>
      <c r="K349" s="4"/>
      <c r="L349" s="4">
        <f t="shared" si="36"/>
        <v>0</v>
      </c>
    </row>
    <row r="350" spans="1:12">
      <c r="A350" s="203"/>
      <c r="B350" s="215"/>
      <c r="C350" s="208"/>
      <c r="D350" s="219"/>
      <c r="E350" s="220"/>
      <c r="F350" s="220"/>
      <c r="G350" s="352"/>
      <c r="H350" s="353"/>
      <c r="I350" s="352"/>
      <c r="J350" s="353"/>
      <c r="K350" s="4"/>
      <c r="L350" s="4">
        <f t="shared" si="36"/>
        <v>0</v>
      </c>
    </row>
    <row r="351" spans="1:12">
      <c r="A351" s="203"/>
      <c r="B351" s="215"/>
      <c r="C351" s="208"/>
      <c r="D351" s="221"/>
      <c r="E351" s="222"/>
      <c r="F351" s="222"/>
      <c r="G351" s="355"/>
      <c r="H351" s="355"/>
      <c r="I351" s="356"/>
      <c r="J351" s="356"/>
    </row>
    <row r="352" spans="1:12">
      <c r="A352" s="203"/>
      <c r="B352" s="201"/>
      <c r="C352" s="394"/>
      <c r="D352" s="203"/>
      <c r="E352" s="203"/>
      <c r="F352" s="203"/>
      <c r="G352" s="203"/>
      <c r="H352" s="203"/>
      <c r="I352" s="203"/>
      <c r="J352" s="203"/>
    </row>
    <row r="353" spans="1:12">
      <c r="A353" s="203"/>
      <c r="B353" s="215" t="s">
        <v>222</v>
      </c>
      <c r="C353" s="208">
        <v>180</v>
      </c>
      <c r="D353" s="213"/>
      <c r="E353" s="213"/>
      <c r="F353" s="213"/>
      <c r="G353" s="347" t="s">
        <v>181</v>
      </c>
      <c r="H353" s="347"/>
      <c r="I353" s="347" t="s">
        <v>182</v>
      </c>
      <c r="J353" s="347"/>
      <c r="K353" s="4"/>
      <c r="L353" s="270">
        <f>SUM(L354:L356)</f>
        <v>4.5151000000000003</v>
      </c>
    </row>
    <row r="354" spans="1:12">
      <c r="A354" s="203"/>
      <c r="B354" s="201"/>
      <c r="C354" s="394"/>
      <c r="D354" s="348" t="s">
        <v>105</v>
      </c>
      <c r="E354" s="348"/>
      <c r="F354" s="348"/>
      <c r="G354" s="349">
        <v>52</v>
      </c>
      <c r="H354" s="349"/>
      <c r="I354" s="349">
        <v>52</v>
      </c>
      <c r="J354" s="349"/>
      <c r="K354" s="4">
        <v>55</v>
      </c>
      <c r="L354" s="4">
        <f>G354*K354/1000</f>
        <v>2.86</v>
      </c>
    </row>
    <row r="355" spans="1:12">
      <c r="A355" s="203"/>
      <c r="B355" s="201"/>
      <c r="C355" s="394"/>
      <c r="D355" s="348" t="s">
        <v>94</v>
      </c>
      <c r="E355" s="348"/>
      <c r="F355" s="348"/>
      <c r="G355" s="349">
        <v>0.3</v>
      </c>
      <c r="H355" s="349"/>
      <c r="I355" s="349">
        <v>0.3</v>
      </c>
      <c r="J355" s="349"/>
      <c r="K355" s="4">
        <v>17</v>
      </c>
      <c r="L355" s="4">
        <f>G355*K355/1000</f>
        <v>5.0999999999999995E-3</v>
      </c>
    </row>
    <row r="356" spans="1:12">
      <c r="A356" s="203"/>
      <c r="B356" s="201"/>
      <c r="C356" s="394"/>
      <c r="D356" s="348" t="s">
        <v>20</v>
      </c>
      <c r="E356" s="348"/>
      <c r="F356" s="348"/>
      <c r="G356" s="349">
        <v>3</v>
      </c>
      <c r="H356" s="349"/>
      <c r="I356" s="349">
        <v>3</v>
      </c>
      <c r="J356" s="349"/>
      <c r="K356" s="4">
        <v>550</v>
      </c>
      <c r="L356" s="4">
        <f>G356*K356/1000</f>
        <v>1.65</v>
      </c>
    </row>
    <row r="357" spans="1:12">
      <c r="A357" s="203"/>
      <c r="B357" s="201"/>
      <c r="C357" s="394"/>
      <c r="D357" s="354" t="s">
        <v>74</v>
      </c>
      <c r="E357" s="354"/>
      <c r="F357" s="354"/>
      <c r="G357" s="355" t="s">
        <v>30</v>
      </c>
      <c r="H357" s="355"/>
      <c r="I357" s="356">
        <v>150</v>
      </c>
      <c r="J357" s="356"/>
      <c r="K357" s="44"/>
      <c r="L357" s="44"/>
    </row>
    <row r="358" spans="1:12">
      <c r="A358" s="203"/>
      <c r="B358" s="201"/>
      <c r="C358" s="394"/>
      <c r="D358" s="203"/>
      <c r="E358" s="203"/>
      <c r="F358" s="203"/>
      <c r="G358" s="203"/>
      <c r="H358" s="203"/>
      <c r="I358" s="203"/>
      <c r="J358" s="203"/>
    </row>
    <row r="359" spans="1:12">
      <c r="A359" s="203"/>
      <c r="B359" s="208" t="s">
        <v>294</v>
      </c>
      <c r="C359" s="394">
        <v>200</v>
      </c>
      <c r="D359" s="203"/>
      <c r="E359" s="203"/>
      <c r="F359" s="203"/>
      <c r="G359" s="203"/>
      <c r="H359" s="203"/>
      <c r="I359" s="203"/>
      <c r="J359" s="203"/>
      <c r="L359" s="269">
        <f>SUM(L360:L365)</f>
        <v>4.8739999999999997</v>
      </c>
    </row>
    <row r="360" spans="1:12">
      <c r="A360" s="203"/>
      <c r="B360" s="201"/>
      <c r="C360" s="394"/>
      <c r="D360" s="367" t="s">
        <v>365</v>
      </c>
      <c r="E360" s="367"/>
      <c r="F360" s="367"/>
      <c r="G360" s="367">
        <v>24</v>
      </c>
      <c r="H360" s="203"/>
      <c r="I360" s="367">
        <v>24</v>
      </c>
      <c r="J360" s="203"/>
      <c r="K360">
        <v>176</v>
      </c>
      <c r="L360" s="4">
        <f t="shared" ref="L360" si="37">G360*K360/1000</f>
        <v>4.2240000000000002</v>
      </c>
    </row>
    <row r="361" spans="1:12">
      <c r="A361" s="203"/>
      <c r="B361" s="201"/>
      <c r="C361" s="394"/>
      <c r="D361" s="367" t="s">
        <v>366</v>
      </c>
      <c r="E361" s="367"/>
      <c r="F361" s="367"/>
      <c r="G361" s="367" t="s">
        <v>30</v>
      </c>
      <c r="H361" s="203"/>
      <c r="I361" s="367" t="s">
        <v>30</v>
      </c>
      <c r="J361" s="203"/>
      <c r="L361" s="4"/>
    </row>
    <row r="362" spans="1:12">
      <c r="A362" s="203"/>
      <c r="B362" s="201"/>
      <c r="C362" s="394"/>
      <c r="D362" s="367" t="s">
        <v>28</v>
      </c>
      <c r="E362" s="367"/>
      <c r="F362" s="367"/>
      <c r="G362" s="367">
        <v>10</v>
      </c>
      <c r="H362" s="203"/>
      <c r="I362" s="367">
        <v>10</v>
      </c>
      <c r="J362" s="203"/>
      <c r="K362">
        <v>55</v>
      </c>
      <c r="L362" s="4">
        <f t="shared" ref="L362:L365" si="38">G362*K362/1000</f>
        <v>0.55000000000000004</v>
      </c>
    </row>
    <row r="363" spans="1:12">
      <c r="A363" s="203"/>
      <c r="B363" s="201"/>
      <c r="C363" s="394"/>
      <c r="D363" s="367" t="s">
        <v>27</v>
      </c>
      <c r="E363" s="367"/>
      <c r="F363" s="367"/>
      <c r="G363" s="367">
        <v>190</v>
      </c>
      <c r="H363" s="203"/>
      <c r="I363" s="367">
        <v>190</v>
      </c>
      <c r="J363" s="203"/>
      <c r="L363" s="4">
        <f t="shared" si="38"/>
        <v>0</v>
      </c>
    </row>
    <row r="364" spans="1:12">
      <c r="A364" s="203"/>
      <c r="B364" s="201"/>
      <c r="C364" s="394"/>
      <c r="D364" s="367" t="s">
        <v>104</v>
      </c>
      <c r="E364" s="367"/>
      <c r="F364" s="367"/>
      <c r="G364" s="367">
        <v>0.2</v>
      </c>
      <c r="H364" s="203"/>
      <c r="I364" s="367">
        <v>0.2</v>
      </c>
      <c r="J364" s="203"/>
      <c r="K364">
        <v>500</v>
      </c>
      <c r="L364" s="4">
        <f t="shared" si="38"/>
        <v>0.1</v>
      </c>
    </row>
    <row r="365" spans="1:12">
      <c r="A365" s="203"/>
      <c r="B365" s="201"/>
      <c r="C365" s="394"/>
      <c r="D365" s="322" t="s">
        <v>21</v>
      </c>
      <c r="E365" s="322"/>
      <c r="F365" s="322"/>
      <c r="G365" s="367">
        <v>200</v>
      </c>
      <c r="H365" s="203"/>
      <c r="I365" s="367"/>
      <c r="J365" s="203"/>
      <c r="L365" s="4">
        <f t="shared" si="38"/>
        <v>0</v>
      </c>
    </row>
    <row r="366" spans="1:12">
      <c r="A366" s="203"/>
      <c r="B366" s="201"/>
      <c r="C366" s="394"/>
      <c r="D366" s="203"/>
      <c r="E366" s="203"/>
      <c r="F366" s="203"/>
      <c r="G366" s="203"/>
      <c r="H366" s="203"/>
      <c r="I366" s="203"/>
      <c r="J366" s="203"/>
    </row>
    <row r="367" spans="1:12">
      <c r="A367" s="203"/>
      <c r="B367" s="201" t="s">
        <v>263</v>
      </c>
      <c r="C367" s="394">
        <v>40</v>
      </c>
      <c r="D367" s="348" t="s">
        <v>263</v>
      </c>
      <c r="E367" s="348"/>
      <c r="F367" s="348"/>
      <c r="G367" s="349">
        <v>40</v>
      </c>
      <c r="H367" s="349"/>
      <c r="I367" s="349">
        <v>40</v>
      </c>
      <c r="J367" s="349"/>
      <c r="K367">
        <v>29.72</v>
      </c>
      <c r="L367" s="254">
        <f>K367/1000*G367</f>
        <v>1.1888000000000001</v>
      </c>
    </row>
    <row r="368" spans="1:12">
      <c r="A368" s="203"/>
      <c r="B368" s="201"/>
      <c r="C368" s="394"/>
      <c r="D368" s="203"/>
      <c r="E368" s="203"/>
      <c r="F368" s="203"/>
      <c r="G368" s="203"/>
      <c r="H368" s="203"/>
      <c r="I368" s="203"/>
      <c r="J368" s="203"/>
    </row>
    <row r="369" spans="1:12">
      <c r="A369" s="203"/>
      <c r="B369" s="201" t="s">
        <v>4</v>
      </c>
      <c r="C369" s="394">
        <v>30</v>
      </c>
      <c r="D369" s="348" t="s">
        <v>4</v>
      </c>
      <c r="E369" s="348"/>
      <c r="F369" s="348"/>
      <c r="G369" s="349">
        <v>30</v>
      </c>
      <c r="H369" s="349"/>
      <c r="I369" s="349">
        <v>30</v>
      </c>
      <c r="J369" s="349"/>
      <c r="K369">
        <v>45.54</v>
      </c>
      <c r="L369" s="254">
        <f>K369/1000*G369</f>
        <v>1.3661999999999999</v>
      </c>
    </row>
    <row r="370" spans="1:12">
      <c r="A370" s="271"/>
      <c r="B370" s="201"/>
      <c r="C370" s="394"/>
      <c r="D370" s="203"/>
      <c r="E370" s="203"/>
      <c r="F370" s="203"/>
      <c r="G370" s="203"/>
      <c r="H370" s="203"/>
      <c r="I370" s="203"/>
      <c r="J370" s="203"/>
    </row>
    <row r="371" spans="1:12">
      <c r="A371" s="203" t="s">
        <v>374</v>
      </c>
      <c r="B371" s="272"/>
      <c r="C371" s="273"/>
      <c r="D371" s="271"/>
      <c r="E371" s="271"/>
      <c r="F371" s="271"/>
      <c r="G371" s="271"/>
      <c r="H371" s="271"/>
      <c r="I371" s="271"/>
      <c r="J371" s="271"/>
      <c r="K371" s="274"/>
      <c r="L371" s="274"/>
    </row>
    <row r="372" spans="1:12">
      <c r="A372" s="203"/>
      <c r="B372" s="208" t="s">
        <v>296</v>
      </c>
      <c r="C372" s="394">
        <v>100</v>
      </c>
      <c r="D372" s="203"/>
      <c r="E372" s="203"/>
      <c r="F372" s="203"/>
      <c r="G372" s="203"/>
      <c r="H372" s="203"/>
      <c r="I372" s="203"/>
      <c r="J372" s="203"/>
      <c r="L372" s="269">
        <f>SUM(L373:L385)</f>
        <v>4.2517800000000001</v>
      </c>
    </row>
    <row r="373" spans="1:12">
      <c r="A373" s="203"/>
      <c r="B373" s="201"/>
      <c r="C373" s="394"/>
      <c r="D373" s="319" t="s">
        <v>84</v>
      </c>
      <c r="E373" s="319"/>
      <c r="F373" s="319"/>
      <c r="G373" s="357">
        <v>20.64</v>
      </c>
      <c r="H373" s="357"/>
      <c r="I373" s="357">
        <v>15</v>
      </c>
      <c r="J373" s="357"/>
      <c r="K373">
        <v>27</v>
      </c>
      <c r="L373" s="4">
        <f t="shared" ref="L373" si="39">G373*K373/1000</f>
        <v>0.55728</v>
      </c>
    </row>
    <row r="374" spans="1:12">
      <c r="A374" s="203"/>
      <c r="B374" s="201"/>
      <c r="C374" s="394"/>
      <c r="D374" s="319" t="s">
        <v>367</v>
      </c>
      <c r="E374" s="319"/>
      <c r="F374" s="319"/>
      <c r="G374" s="357" t="s">
        <v>30</v>
      </c>
      <c r="H374" s="357"/>
      <c r="I374" s="357" t="s">
        <v>30</v>
      </c>
      <c r="J374" s="357"/>
      <c r="L374" s="4"/>
    </row>
    <row r="375" spans="1:12" ht="19.5" customHeight="1">
      <c r="A375" s="203"/>
      <c r="B375" s="201"/>
      <c r="C375" s="394"/>
      <c r="D375" s="319" t="s">
        <v>116</v>
      </c>
      <c r="E375" s="319"/>
      <c r="F375" s="319"/>
      <c r="G375" s="393">
        <v>15.3</v>
      </c>
      <c r="H375" s="393"/>
      <c r="I375" s="357">
        <v>12</v>
      </c>
      <c r="J375" s="357"/>
      <c r="K375">
        <v>35</v>
      </c>
      <c r="L375" s="4">
        <f t="shared" ref="L375" si="40">G375*K375/1000</f>
        <v>0.53549999999999998</v>
      </c>
    </row>
    <row r="376" spans="1:12" ht="12.75" customHeight="1">
      <c r="A376" s="203"/>
      <c r="B376" s="201"/>
      <c r="C376" s="394"/>
      <c r="D376" s="319" t="s">
        <v>367</v>
      </c>
      <c r="E376" s="319"/>
      <c r="F376" s="319"/>
      <c r="G376" s="357" t="s">
        <v>30</v>
      </c>
      <c r="H376" s="357"/>
      <c r="I376" s="357" t="s">
        <v>30</v>
      </c>
      <c r="J376" s="357"/>
      <c r="L376" s="4"/>
    </row>
    <row r="377" spans="1:12" ht="15" customHeight="1">
      <c r="A377" s="203"/>
      <c r="B377" s="201"/>
      <c r="C377" s="394"/>
      <c r="D377" s="319" t="s">
        <v>119</v>
      </c>
      <c r="E377" s="319"/>
      <c r="F377" s="319"/>
      <c r="G377" s="357">
        <v>11.34</v>
      </c>
      <c r="H377" s="357"/>
      <c r="I377" s="357">
        <v>9</v>
      </c>
      <c r="J377" s="357"/>
      <c r="K377">
        <v>30</v>
      </c>
      <c r="L377" s="4">
        <f t="shared" ref="L377" si="41">G377*K377/1000</f>
        <v>0.3402</v>
      </c>
    </row>
    <row r="378" spans="1:12">
      <c r="A378" s="203"/>
      <c r="B378" s="201"/>
      <c r="C378" s="394"/>
      <c r="D378" s="319" t="s">
        <v>367</v>
      </c>
      <c r="E378" s="319"/>
      <c r="F378" s="319"/>
      <c r="G378" s="357" t="s">
        <v>30</v>
      </c>
      <c r="H378" s="357"/>
      <c r="I378" s="357" t="s">
        <v>30</v>
      </c>
      <c r="J378" s="357"/>
      <c r="L378" s="4"/>
    </row>
    <row r="379" spans="1:12">
      <c r="A379" s="203"/>
      <c r="B379" s="201"/>
      <c r="C379" s="394"/>
      <c r="D379" s="319" t="s">
        <v>112</v>
      </c>
      <c r="E379" s="319"/>
      <c r="F379" s="319"/>
      <c r="G379" s="357">
        <v>15</v>
      </c>
      <c r="H379" s="357"/>
      <c r="I379" s="357">
        <v>12</v>
      </c>
      <c r="J379" s="357"/>
      <c r="K379">
        <v>140</v>
      </c>
      <c r="L379" s="4">
        <f t="shared" ref="L379" si="42">G379*K379/1000</f>
        <v>2.1</v>
      </c>
    </row>
    <row r="380" spans="1:12">
      <c r="A380" s="203"/>
      <c r="B380" s="201"/>
      <c r="C380" s="394"/>
      <c r="D380" s="319" t="s">
        <v>368</v>
      </c>
      <c r="E380" s="319"/>
      <c r="F380" s="319"/>
      <c r="G380" s="357" t="s">
        <v>30</v>
      </c>
      <c r="H380" s="357"/>
      <c r="I380" s="357" t="s">
        <v>30</v>
      </c>
      <c r="J380" s="357"/>
      <c r="L380" s="4"/>
    </row>
    <row r="381" spans="1:12">
      <c r="A381" s="203"/>
      <c r="B381" s="201"/>
      <c r="C381" s="394"/>
      <c r="D381" s="319" t="s">
        <v>369</v>
      </c>
      <c r="E381" s="319"/>
      <c r="F381" s="319"/>
      <c r="G381" s="357">
        <v>11.28</v>
      </c>
      <c r="H381" s="357"/>
      <c r="I381" s="357">
        <v>9</v>
      </c>
      <c r="J381" s="357"/>
      <c r="L381" s="4"/>
    </row>
    <row r="382" spans="1:12">
      <c r="A382" s="203"/>
      <c r="B382" s="201"/>
      <c r="C382" s="394"/>
      <c r="D382" s="319" t="s">
        <v>99</v>
      </c>
      <c r="E382" s="319"/>
      <c r="F382" s="319"/>
      <c r="G382" s="357">
        <v>10.74</v>
      </c>
      <c r="H382" s="357"/>
      <c r="I382" s="357">
        <v>9</v>
      </c>
      <c r="J382" s="357"/>
      <c r="K382">
        <v>20</v>
      </c>
      <c r="L382" s="4">
        <f t="shared" ref="L382" si="43">G382*K382/1000</f>
        <v>0.21480000000000002</v>
      </c>
    </row>
    <row r="383" spans="1:12">
      <c r="A383" s="203"/>
      <c r="B383" s="201"/>
      <c r="C383" s="394"/>
      <c r="D383" s="319" t="s">
        <v>370</v>
      </c>
      <c r="E383" s="319"/>
      <c r="F383" s="319"/>
      <c r="G383" s="357" t="s">
        <v>30</v>
      </c>
      <c r="H383" s="357"/>
      <c r="I383" s="357" t="s">
        <v>30</v>
      </c>
      <c r="J383" s="357"/>
      <c r="L383" s="4"/>
    </row>
    <row r="384" spans="1:12">
      <c r="A384" s="203"/>
      <c r="B384" s="201"/>
      <c r="C384" s="394"/>
      <c r="D384" s="319" t="s">
        <v>117</v>
      </c>
      <c r="E384" s="319"/>
      <c r="F384" s="319"/>
      <c r="G384" s="357">
        <v>3.6</v>
      </c>
      <c r="H384" s="357"/>
      <c r="I384" s="357">
        <v>3.6</v>
      </c>
      <c r="J384" s="357"/>
      <c r="K384">
        <v>140</v>
      </c>
      <c r="L384" s="4">
        <f t="shared" ref="L384" si="44">G384*K384/1000</f>
        <v>0.504</v>
      </c>
    </row>
    <row r="385" spans="1:12">
      <c r="A385" s="203"/>
      <c r="B385" s="201"/>
      <c r="C385" s="394"/>
      <c r="D385" s="314" t="s">
        <v>21</v>
      </c>
      <c r="E385" s="314"/>
      <c r="F385" s="314"/>
      <c r="G385" s="397">
        <v>60</v>
      </c>
      <c r="H385" s="398"/>
      <c r="I385" s="398"/>
      <c r="J385" s="399"/>
    </row>
    <row r="386" spans="1:12">
      <c r="A386" s="203"/>
      <c r="B386" s="201"/>
      <c r="C386" s="394"/>
      <c r="D386" s="384"/>
      <c r="E386" s="384"/>
      <c r="F386" s="384"/>
      <c r="G386" s="385"/>
      <c r="H386" s="385"/>
      <c r="I386" s="386"/>
      <c r="J386" s="386"/>
    </row>
    <row r="387" spans="1:12">
      <c r="A387" s="203"/>
      <c r="B387" s="201"/>
      <c r="C387" s="394"/>
      <c r="D387" s="203"/>
      <c r="E387" s="203"/>
      <c r="F387" s="203"/>
      <c r="G387" s="203"/>
      <c r="H387" s="203"/>
      <c r="I387" s="203"/>
      <c r="J387" s="203"/>
    </row>
    <row r="388" spans="1:12">
      <c r="A388" s="203"/>
      <c r="B388" s="201" t="s">
        <v>297</v>
      </c>
      <c r="C388" s="394">
        <v>250</v>
      </c>
      <c r="D388" s="203"/>
      <c r="E388" s="203"/>
      <c r="F388" s="203"/>
      <c r="G388" s="203"/>
      <c r="H388" s="203"/>
      <c r="I388" s="203"/>
      <c r="J388" s="203"/>
      <c r="L388" s="269">
        <f>SUM(L389:L396)</f>
        <v>7.1876399999999991</v>
      </c>
    </row>
    <row r="389" spans="1:12" s="50" customFormat="1">
      <c r="A389" s="203"/>
      <c r="B389" s="201"/>
      <c r="C389" s="394">
        <v>10</v>
      </c>
      <c r="D389" s="400" t="s">
        <v>107</v>
      </c>
      <c r="E389" s="400"/>
      <c r="F389" s="400"/>
      <c r="G389" s="347">
        <v>15</v>
      </c>
      <c r="H389" s="347"/>
      <c r="I389" s="347">
        <v>12</v>
      </c>
      <c r="J389" s="347"/>
      <c r="K389">
        <v>270</v>
      </c>
      <c r="L389" s="4">
        <f t="shared" ref="L389:L396" si="45">G389*K389/1000</f>
        <v>4.05</v>
      </c>
    </row>
    <row r="390" spans="1:12">
      <c r="A390" s="203"/>
      <c r="B390" s="201"/>
      <c r="C390" s="394"/>
      <c r="D390" s="394" t="s">
        <v>85</v>
      </c>
      <c r="E390" s="394"/>
      <c r="F390" s="394"/>
      <c r="G390" s="395">
        <v>9</v>
      </c>
      <c r="H390" s="395"/>
      <c r="I390" s="395">
        <v>7</v>
      </c>
      <c r="J390" s="395"/>
      <c r="K390">
        <v>30</v>
      </c>
      <c r="L390" s="4">
        <f t="shared" si="45"/>
        <v>0.27</v>
      </c>
    </row>
    <row r="391" spans="1:12">
      <c r="A391" s="203"/>
      <c r="B391" s="201"/>
      <c r="C391" s="394"/>
      <c r="D391" s="396" t="s">
        <v>86</v>
      </c>
      <c r="E391" s="396"/>
      <c r="F391" s="396"/>
      <c r="G391" s="395">
        <v>9</v>
      </c>
      <c r="H391" s="395"/>
      <c r="I391" s="395">
        <v>8</v>
      </c>
      <c r="J391" s="395"/>
      <c r="K391">
        <v>20</v>
      </c>
      <c r="L391" s="4">
        <f t="shared" si="45"/>
        <v>0.18</v>
      </c>
    </row>
    <row r="392" spans="1:12">
      <c r="A392" s="203"/>
      <c r="B392" s="201"/>
      <c r="C392" s="394"/>
      <c r="D392" s="396" t="s">
        <v>105</v>
      </c>
      <c r="E392" s="396"/>
      <c r="F392" s="396"/>
      <c r="G392" s="395">
        <v>16</v>
      </c>
      <c r="H392" s="395"/>
      <c r="I392" s="395">
        <v>16</v>
      </c>
      <c r="J392" s="395"/>
      <c r="K392">
        <v>55</v>
      </c>
      <c r="L392" s="4">
        <f t="shared" si="45"/>
        <v>0.88</v>
      </c>
    </row>
    <row r="393" spans="1:12">
      <c r="A393" s="203"/>
      <c r="B393" s="201"/>
      <c r="C393" s="394"/>
      <c r="D393" s="396" t="s">
        <v>81</v>
      </c>
      <c r="E393" s="396"/>
      <c r="F393" s="396"/>
      <c r="G393" s="395">
        <v>1</v>
      </c>
      <c r="H393" s="395"/>
      <c r="I393" s="395">
        <v>1</v>
      </c>
      <c r="J393" s="395"/>
      <c r="K393">
        <v>140</v>
      </c>
      <c r="L393" s="4">
        <f t="shared" si="45"/>
        <v>0.14000000000000001</v>
      </c>
    </row>
    <row r="394" spans="1:12">
      <c r="A394" s="203"/>
      <c r="B394" s="201"/>
      <c r="C394" s="394"/>
      <c r="D394" s="396" t="s">
        <v>20</v>
      </c>
      <c r="E394" s="396"/>
      <c r="F394" s="396"/>
      <c r="G394" s="395">
        <v>2</v>
      </c>
      <c r="H394" s="395"/>
      <c r="I394" s="395">
        <v>2</v>
      </c>
      <c r="J394" s="395"/>
      <c r="K394">
        <v>550</v>
      </c>
      <c r="L394" s="4">
        <f t="shared" si="45"/>
        <v>1.1000000000000001</v>
      </c>
    </row>
    <row r="395" spans="1:12">
      <c r="A395" s="203"/>
      <c r="B395" s="201"/>
      <c r="C395" s="394"/>
      <c r="D395" s="401" t="s">
        <v>98</v>
      </c>
      <c r="E395" s="401"/>
      <c r="F395" s="401"/>
      <c r="G395" s="402">
        <v>4</v>
      </c>
      <c r="H395" s="402"/>
      <c r="I395" s="402">
        <v>3</v>
      </c>
      <c r="J395" s="402"/>
      <c r="K395" s="261">
        <v>137.66</v>
      </c>
      <c r="L395" s="4">
        <f t="shared" si="45"/>
        <v>0.55064000000000002</v>
      </c>
    </row>
    <row r="396" spans="1:12">
      <c r="A396" s="203"/>
      <c r="B396" s="201"/>
      <c r="C396" s="394"/>
      <c r="D396" s="394" t="s">
        <v>94</v>
      </c>
      <c r="E396" s="394"/>
      <c r="F396" s="394"/>
      <c r="G396" s="395">
        <v>1</v>
      </c>
      <c r="H396" s="395"/>
      <c r="I396" s="395">
        <v>1</v>
      </c>
      <c r="J396" s="395"/>
      <c r="K396">
        <v>17</v>
      </c>
      <c r="L396" s="4">
        <f t="shared" si="45"/>
        <v>1.7000000000000001E-2</v>
      </c>
    </row>
    <row r="397" spans="1:12">
      <c r="A397" s="203"/>
      <c r="B397" s="201"/>
      <c r="C397" s="394"/>
      <c r="D397" s="354" t="s">
        <v>74</v>
      </c>
      <c r="E397" s="354"/>
      <c r="F397" s="354"/>
      <c r="G397" s="355" t="s">
        <v>30</v>
      </c>
      <c r="H397" s="355"/>
      <c r="I397" s="355" t="s">
        <v>106</v>
      </c>
      <c r="J397" s="355"/>
    </row>
    <row r="398" spans="1:12">
      <c r="A398" s="203"/>
      <c r="B398" s="201"/>
      <c r="C398" s="394"/>
      <c r="D398" s="203"/>
      <c r="E398" s="203"/>
      <c r="F398" s="203"/>
      <c r="G398" s="203"/>
      <c r="H398" s="203"/>
      <c r="I398" s="203"/>
      <c r="J398" s="203"/>
    </row>
    <row r="399" spans="1:12">
      <c r="A399" s="203"/>
      <c r="B399" s="201" t="s">
        <v>114</v>
      </c>
      <c r="C399" s="394">
        <v>100</v>
      </c>
      <c r="D399" s="203"/>
      <c r="E399" s="203"/>
      <c r="F399" s="203"/>
      <c r="G399" s="203"/>
      <c r="H399" s="203"/>
      <c r="I399" s="203"/>
      <c r="J399" s="203"/>
      <c r="L399" s="269">
        <f>SUM(L400:L402)</f>
        <v>20.705700000000004</v>
      </c>
    </row>
    <row r="400" spans="1:12">
      <c r="A400" s="203"/>
      <c r="B400" s="201"/>
      <c r="C400" s="394"/>
      <c r="D400" s="348" t="s">
        <v>371</v>
      </c>
      <c r="E400" s="348"/>
      <c r="F400" s="348"/>
      <c r="G400" s="349">
        <v>110</v>
      </c>
      <c r="H400" s="349"/>
      <c r="I400" s="349">
        <v>96</v>
      </c>
      <c r="J400" s="349"/>
      <c r="K400">
        <v>185</v>
      </c>
      <c r="L400" s="4">
        <f t="shared" ref="L400:L402" si="46">G400*K400/1000</f>
        <v>20.350000000000001</v>
      </c>
    </row>
    <row r="401" spans="1:12">
      <c r="A401" s="203"/>
      <c r="B401" s="201"/>
      <c r="C401" s="394"/>
      <c r="D401" s="350" t="s">
        <v>109</v>
      </c>
      <c r="E401" s="351"/>
      <c r="F401" s="351"/>
      <c r="G401" s="352">
        <v>2</v>
      </c>
      <c r="H401" s="353"/>
      <c r="I401" s="352">
        <v>2</v>
      </c>
      <c r="J401" s="353"/>
      <c r="K401">
        <v>173.6</v>
      </c>
      <c r="L401" s="4">
        <f t="shared" si="46"/>
        <v>0.34720000000000001</v>
      </c>
    </row>
    <row r="402" spans="1:12">
      <c r="A402" s="203"/>
      <c r="B402" s="201"/>
      <c r="C402" s="394"/>
      <c r="D402" s="348" t="s">
        <v>94</v>
      </c>
      <c r="E402" s="348"/>
      <c r="F402" s="348"/>
      <c r="G402" s="349">
        <v>0.5</v>
      </c>
      <c r="H402" s="349"/>
      <c r="I402" s="349">
        <v>0.5</v>
      </c>
      <c r="J402" s="349"/>
      <c r="K402">
        <v>17</v>
      </c>
      <c r="L402" s="4">
        <f t="shared" si="46"/>
        <v>8.5000000000000006E-3</v>
      </c>
    </row>
    <row r="403" spans="1:12">
      <c r="A403" s="203"/>
      <c r="B403" s="201"/>
      <c r="C403" s="394"/>
      <c r="D403" s="354" t="s">
        <v>74</v>
      </c>
      <c r="E403" s="354"/>
      <c r="F403" s="354"/>
      <c r="G403" s="355" t="s">
        <v>30</v>
      </c>
      <c r="H403" s="355"/>
      <c r="I403" s="356">
        <v>90</v>
      </c>
      <c r="J403" s="356"/>
      <c r="L403" s="4"/>
    </row>
    <row r="404" spans="1:12">
      <c r="A404" s="203"/>
      <c r="B404" s="201"/>
      <c r="C404" s="394"/>
      <c r="D404" s="203"/>
      <c r="E404" s="203"/>
      <c r="F404" s="203"/>
      <c r="G404" s="203"/>
      <c r="H404" s="203"/>
      <c r="I404" s="203"/>
      <c r="J404" s="203"/>
    </row>
    <row r="405" spans="1:12">
      <c r="A405" s="203"/>
      <c r="B405" s="201" t="s">
        <v>299</v>
      </c>
      <c r="C405" s="394">
        <v>180</v>
      </c>
      <c r="D405" s="203"/>
      <c r="E405" s="203"/>
      <c r="F405" s="203"/>
      <c r="G405" s="347" t="s">
        <v>181</v>
      </c>
      <c r="H405" s="347"/>
      <c r="I405" s="347" t="s">
        <v>182</v>
      </c>
      <c r="J405" s="347"/>
      <c r="L405" s="254">
        <f>SUM(L406:L414)</f>
        <v>12.3405</v>
      </c>
    </row>
    <row r="406" spans="1:12">
      <c r="A406" s="203"/>
      <c r="B406" s="201"/>
      <c r="C406" s="394"/>
      <c r="D406" s="348" t="s">
        <v>372</v>
      </c>
      <c r="E406" s="348"/>
      <c r="F406" s="348"/>
      <c r="G406" s="349">
        <f>195*I415/150</f>
        <v>195</v>
      </c>
      <c r="H406" s="349"/>
      <c r="I406" s="349">
        <f>171*I415/150</f>
        <v>171</v>
      </c>
      <c r="J406" s="349"/>
      <c r="K406">
        <v>45</v>
      </c>
      <c r="L406">
        <f>G406*K406/1000</f>
        <v>8.7750000000000004</v>
      </c>
    </row>
    <row r="407" spans="1:12">
      <c r="A407" s="203"/>
      <c r="B407" s="201"/>
      <c r="C407" s="394"/>
      <c r="D407" s="350" t="s">
        <v>81</v>
      </c>
      <c r="E407" s="351"/>
      <c r="F407" s="351"/>
      <c r="G407" s="352">
        <f>5*I415/150</f>
        <v>5</v>
      </c>
      <c r="H407" s="353"/>
      <c r="I407" s="352">
        <f>G407</f>
        <v>5</v>
      </c>
      <c r="J407" s="353"/>
      <c r="K407">
        <v>140</v>
      </c>
      <c r="L407">
        <f t="shared" ref="L407:L414" si="47">G407*K407/1000</f>
        <v>0.7</v>
      </c>
    </row>
    <row r="408" spans="1:12">
      <c r="A408" s="203"/>
      <c r="B408" s="201"/>
      <c r="C408" s="394"/>
      <c r="D408" s="350" t="s">
        <v>85</v>
      </c>
      <c r="E408" s="351"/>
      <c r="F408" s="351"/>
      <c r="G408" s="352">
        <f>5*I415/150</f>
        <v>5</v>
      </c>
      <c r="H408" s="353"/>
      <c r="I408" s="352">
        <f>4*I415/150</f>
        <v>4</v>
      </c>
      <c r="J408" s="353"/>
      <c r="K408">
        <v>30</v>
      </c>
      <c r="L408">
        <f t="shared" si="47"/>
        <v>0.15</v>
      </c>
    </row>
    <row r="409" spans="1:12">
      <c r="A409" s="203"/>
      <c r="B409" s="201"/>
      <c r="C409" s="394"/>
      <c r="D409" s="350" t="s">
        <v>86</v>
      </c>
      <c r="E409" s="351"/>
      <c r="F409" s="351"/>
      <c r="G409" s="352">
        <f>6*I415/150</f>
        <v>6</v>
      </c>
      <c r="H409" s="353"/>
      <c r="I409" s="352">
        <f>5*I415/150</f>
        <v>5</v>
      </c>
      <c r="J409" s="353"/>
      <c r="K409">
        <v>20</v>
      </c>
      <c r="L409">
        <f t="shared" si="47"/>
        <v>0.12</v>
      </c>
    </row>
    <row r="410" spans="1:12">
      <c r="A410" s="203"/>
      <c r="B410" s="201"/>
      <c r="C410" s="394"/>
      <c r="D410" s="350" t="s">
        <v>340</v>
      </c>
      <c r="E410" s="351"/>
      <c r="F410" s="351"/>
      <c r="G410" s="375">
        <f>6*I415/150</f>
        <v>6</v>
      </c>
      <c r="H410" s="376"/>
      <c r="I410" s="352">
        <f>G410</f>
        <v>6</v>
      </c>
      <c r="J410" s="353"/>
      <c r="K410">
        <v>135</v>
      </c>
      <c r="L410">
        <f t="shared" si="47"/>
        <v>0.81</v>
      </c>
    </row>
    <row r="411" spans="1:12">
      <c r="A411" s="203"/>
      <c r="B411" s="201"/>
      <c r="C411" s="394"/>
      <c r="D411" s="350" t="s">
        <v>373</v>
      </c>
      <c r="E411" s="351"/>
      <c r="F411" s="351"/>
      <c r="G411" s="352">
        <f>3*I415/150</f>
        <v>3</v>
      </c>
      <c r="H411" s="353"/>
      <c r="I411" s="352">
        <f>G411</f>
        <v>3</v>
      </c>
      <c r="J411" s="353"/>
      <c r="K411">
        <v>500</v>
      </c>
      <c r="L411">
        <f t="shared" si="47"/>
        <v>1.5</v>
      </c>
    </row>
    <row r="412" spans="1:12">
      <c r="A412" s="203"/>
      <c r="B412" s="201"/>
      <c r="C412" s="394"/>
      <c r="D412" s="350" t="s">
        <v>115</v>
      </c>
      <c r="E412" s="351"/>
      <c r="F412" s="351"/>
      <c r="G412" s="352">
        <f>1.5*I415/150</f>
        <v>1.5</v>
      </c>
      <c r="H412" s="353"/>
      <c r="I412" s="352">
        <f>G412</f>
        <v>1.5</v>
      </c>
      <c r="J412" s="353"/>
      <c r="K412">
        <v>37</v>
      </c>
      <c r="L412">
        <f t="shared" si="47"/>
        <v>5.5500000000000001E-2</v>
      </c>
    </row>
    <row r="413" spans="1:12">
      <c r="A413" s="203"/>
      <c r="B413" s="201"/>
      <c r="C413" s="394"/>
      <c r="D413" s="350" t="s">
        <v>103</v>
      </c>
      <c r="E413" s="351"/>
      <c r="F413" s="351"/>
      <c r="G413" s="352">
        <f>4*I415/150</f>
        <v>4</v>
      </c>
      <c r="H413" s="353"/>
      <c r="I413" s="352">
        <f>G413</f>
        <v>4</v>
      </c>
      <c r="J413" s="353"/>
      <c r="K413">
        <v>55</v>
      </c>
      <c r="L413">
        <f t="shared" si="47"/>
        <v>0.22</v>
      </c>
    </row>
    <row r="414" spans="1:12">
      <c r="A414" s="203"/>
      <c r="B414" s="201"/>
      <c r="C414" s="394"/>
      <c r="D414" s="377" t="s">
        <v>101</v>
      </c>
      <c r="E414" s="378"/>
      <c r="F414" s="378"/>
      <c r="G414" s="379">
        <f>0.01*I415/150</f>
        <v>0.01</v>
      </c>
      <c r="H414" s="380"/>
      <c r="I414" s="379">
        <f>G414</f>
        <v>0.01</v>
      </c>
      <c r="J414" s="380"/>
      <c r="K414">
        <v>1000</v>
      </c>
      <c r="L414">
        <f t="shared" si="47"/>
        <v>0.01</v>
      </c>
    </row>
    <row r="415" spans="1:12">
      <c r="A415" s="203"/>
      <c r="B415" s="201"/>
      <c r="C415" s="394"/>
      <c r="D415" s="354" t="s">
        <v>74</v>
      </c>
      <c r="E415" s="354"/>
      <c r="F415" s="354"/>
      <c r="G415" s="355" t="s">
        <v>30</v>
      </c>
      <c r="H415" s="355"/>
      <c r="I415" s="356">
        <v>150</v>
      </c>
      <c r="J415" s="356"/>
    </row>
    <row r="416" spans="1:12">
      <c r="A416" s="203"/>
      <c r="B416" s="201"/>
      <c r="C416" s="394"/>
      <c r="D416" s="203"/>
      <c r="E416" s="203"/>
      <c r="F416" s="203"/>
      <c r="G416" s="203"/>
      <c r="H416" s="203"/>
      <c r="I416" s="203"/>
      <c r="J416" s="203"/>
    </row>
    <row r="417" spans="1:12">
      <c r="A417" s="203"/>
      <c r="B417" s="201" t="s">
        <v>331</v>
      </c>
      <c r="C417" s="394">
        <v>200</v>
      </c>
      <c r="D417" s="203"/>
      <c r="E417" s="203"/>
      <c r="F417" s="203"/>
      <c r="G417" s="347" t="s">
        <v>181</v>
      </c>
      <c r="H417" s="347"/>
      <c r="I417" s="347" t="s">
        <v>182</v>
      </c>
      <c r="J417" s="347"/>
      <c r="L417" s="50">
        <f>SUM(L418:L420)</f>
        <v>2.7780000000000005</v>
      </c>
    </row>
    <row r="418" spans="1:12">
      <c r="A418" s="203"/>
      <c r="B418" s="201"/>
      <c r="C418" s="394"/>
      <c r="D418" s="348" t="s">
        <v>145</v>
      </c>
      <c r="E418" s="348"/>
      <c r="F418" s="348"/>
      <c r="G418" s="349">
        <f>20*I421/180</f>
        <v>22.222222222222221</v>
      </c>
      <c r="H418" s="349"/>
      <c r="I418" s="349">
        <f>G418</f>
        <v>22.222222222222221</v>
      </c>
      <c r="J418" s="349"/>
      <c r="K418">
        <v>97.51</v>
      </c>
      <c r="L418">
        <f t="shared" ref="L418:L420" si="48">G418*K418/1000</f>
        <v>2.1668888888888893</v>
      </c>
    </row>
    <row r="419" spans="1:12">
      <c r="A419" s="203"/>
      <c r="B419" s="201"/>
      <c r="C419" s="394"/>
      <c r="D419" s="350" t="s">
        <v>103</v>
      </c>
      <c r="E419" s="351"/>
      <c r="F419" s="351"/>
      <c r="G419" s="352">
        <f>10*I421/180</f>
        <v>11.111111111111111</v>
      </c>
      <c r="H419" s="353"/>
      <c r="I419" s="352">
        <f>G419</f>
        <v>11.111111111111111</v>
      </c>
      <c r="J419" s="353"/>
      <c r="K419">
        <v>55</v>
      </c>
      <c r="L419">
        <f t="shared" si="48"/>
        <v>0.61111111111111105</v>
      </c>
    </row>
    <row r="420" spans="1:12">
      <c r="A420" s="203"/>
      <c r="B420" s="201"/>
      <c r="C420" s="394"/>
      <c r="D420" s="350" t="s">
        <v>27</v>
      </c>
      <c r="E420" s="351"/>
      <c r="F420" s="351"/>
      <c r="G420" s="352">
        <f>180*I421/180</f>
        <v>200</v>
      </c>
      <c r="H420" s="353"/>
      <c r="I420" s="352">
        <f>G420</f>
        <v>200</v>
      </c>
      <c r="J420" s="353"/>
      <c r="L420">
        <f t="shared" si="48"/>
        <v>0</v>
      </c>
    </row>
    <row r="421" spans="1:12">
      <c r="A421" s="203"/>
      <c r="B421" s="201"/>
      <c r="C421" s="394"/>
      <c r="D421" s="354" t="s">
        <v>74</v>
      </c>
      <c r="E421" s="354"/>
      <c r="F421" s="354"/>
      <c r="G421" s="355" t="s">
        <v>30</v>
      </c>
      <c r="H421" s="355"/>
      <c r="I421" s="356">
        <v>200</v>
      </c>
      <c r="J421" s="356"/>
    </row>
    <row r="422" spans="1:12">
      <c r="A422" s="203"/>
      <c r="B422" s="201"/>
      <c r="C422" s="394"/>
      <c r="D422" s="203"/>
      <c r="E422" s="203"/>
      <c r="F422" s="203"/>
      <c r="G422" s="203"/>
      <c r="H422" s="203"/>
      <c r="I422" s="203"/>
      <c r="J422" s="203"/>
    </row>
    <row r="423" spans="1:12">
      <c r="A423" s="203"/>
      <c r="B423" s="201" t="s">
        <v>263</v>
      </c>
      <c r="C423" s="394">
        <v>40</v>
      </c>
      <c r="D423" s="348" t="s">
        <v>263</v>
      </c>
      <c r="E423" s="348"/>
      <c r="F423" s="348"/>
      <c r="G423" s="349">
        <v>40</v>
      </c>
      <c r="H423" s="349"/>
      <c r="I423" s="349">
        <v>40</v>
      </c>
      <c r="J423" s="349"/>
      <c r="K423">
        <v>29.72</v>
      </c>
      <c r="L423" s="254">
        <f>K423/1000*G423</f>
        <v>1.1888000000000001</v>
      </c>
    </row>
    <row r="424" spans="1:12">
      <c r="A424" s="203"/>
      <c r="B424" s="201"/>
      <c r="C424" s="394"/>
      <c r="D424" s="203"/>
      <c r="E424" s="203"/>
      <c r="F424" s="203"/>
      <c r="G424" s="203"/>
      <c r="H424" s="203"/>
      <c r="I424" s="203"/>
      <c r="J424" s="203"/>
    </row>
    <row r="425" spans="1:12">
      <c r="A425" s="203"/>
      <c r="B425" s="201" t="s">
        <v>4</v>
      </c>
      <c r="C425" s="394">
        <v>30</v>
      </c>
      <c r="D425" s="348" t="s">
        <v>4</v>
      </c>
      <c r="E425" s="348"/>
      <c r="F425" s="348"/>
      <c r="G425" s="349">
        <v>30</v>
      </c>
      <c r="H425" s="349"/>
      <c r="I425" s="349">
        <v>30</v>
      </c>
      <c r="J425" s="349"/>
      <c r="K425">
        <v>45.54</v>
      </c>
      <c r="L425" s="254">
        <f>K425/1000*G425</f>
        <v>1.3661999999999999</v>
      </c>
    </row>
    <row r="426" spans="1:12">
      <c r="A426" s="203" t="s">
        <v>379</v>
      </c>
      <c r="B426" s="201"/>
      <c r="C426" s="394"/>
      <c r="D426" s="203"/>
      <c r="E426" s="203"/>
      <c r="F426" s="203"/>
      <c r="G426" s="203"/>
      <c r="H426" s="203"/>
      <c r="I426" s="203"/>
      <c r="J426" s="203"/>
    </row>
    <row r="427" spans="1:12">
      <c r="A427" s="203"/>
      <c r="B427" s="201" t="s">
        <v>350</v>
      </c>
      <c r="C427" s="394">
        <v>100</v>
      </c>
      <c r="D427" s="203"/>
      <c r="E427" s="203"/>
      <c r="F427" s="203"/>
      <c r="G427" s="347" t="s">
        <v>181</v>
      </c>
      <c r="H427" s="347"/>
      <c r="I427" s="347" t="s">
        <v>182</v>
      </c>
      <c r="J427" s="347"/>
      <c r="L427" s="50">
        <f>SUM(L428:L429)</f>
        <v>5.298</v>
      </c>
    </row>
    <row r="428" spans="1:12">
      <c r="A428" s="203"/>
      <c r="B428" s="201"/>
      <c r="C428" s="394"/>
      <c r="D428" s="348" t="s">
        <v>350</v>
      </c>
      <c r="E428" s="348"/>
      <c r="F428" s="348"/>
      <c r="G428" s="349">
        <v>60</v>
      </c>
      <c r="H428" s="349"/>
      <c r="I428" s="349">
        <v>60</v>
      </c>
      <c r="J428" s="349"/>
      <c r="K428">
        <v>88.3</v>
      </c>
      <c r="L428">
        <f>G428*K428/1000</f>
        <v>5.298</v>
      </c>
    </row>
    <row r="429" spans="1:12">
      <c r="A429" s="203"/>
      <c r="B429" s="201"/>
      <c r="C429" s="394"/>
      <c r="D429" s="403"/>
      <c r="E429" s="404"/>
      <c r="F429" s="404"/>
      <c r="G429" s="405"/>
      <c r="H429" s="406"/>
      <c r="I429" s="405"/>
      <c r="J429" s="406"/>
    </row>
    <row r="430" spans="1:12">
      <c r="A430" s="203"/>
      <c r="B430" s="201"/>
      <c r="C430" s="394"/>
      <c r="D430" s="203"/>
      <c r="E430" s="203"/>
      <c r="F430" s="203"/>
      <c r="G430" s="203"/>
      <c r="H430" s="203"/>
      <c r="I430" s="203"/>
      <c r="J430" s="203"/>
    </row>
    <row r="431" spans="1:12">
      <c r="A431" s="203"/>
      <c r="B431" s="210" t="s">
        <v>375</v>
      </c>
      <c r="C431" s="275">
        <v>250</v>
      </c>
      <c r="D431" s="203"/>
      <c r="E431" s="203"/>
      <c r="F431" s="203"/>
      <c r="G431" s="203"/>
      <c r="H431" s="203"/>
      <c r="I431" s="203"/>
      <c r="J431" s="203"/>
      <c r="L431" s="269">
        <f>SUM(L432:L440)</f>
        <v>3.0424000000000002</v>
      </c>
    </row>
    <row r="432" spans="1:12">
      <c r="A432" s="203"/>
      <c r="B432" s="201"/>
      <c r="C432" s="394"/>
      <c r="D432" s="348" t="s">
        <v>376</v>
      </c>
      <c r="E432" s="348"/>
      <c r="F432" s="348"/>
      <c r="G432" s="349">
        <v>140</v>
      </c>
      <c r="H432" s="349"/>
      <c r="I432" s="349">
        <v>140</v>
      </c>
      <c r="J432" s="349"/>
      <c r="L432" s="251">
        <f t="shared" ref="L432:L440" si="49">K432/1000*G432</f>
        <v>0</v>
      </c>
    </row>
    <row r="433" spans="1:12">
      <c r="A433" s="203"/>
      <c r="B433" s="201"/>
      <c r="C433" s="394"/>
      <c r="D433" s="350" t="s">
        <v>105</v>
      </c>
      <c r="E433" s="351"/>
      <c r="F433" s="351"/>
      <c r="G433" s="352">
        <v>1.6</v>
      </c>
      <c r="H433" s="353"/>
      <c r="I433" s="352">
        <v>1.6</v>
      </c>
      <c r="J433" s="353"/>
      <c r="K433">
        <v>50</v>
      </c>
      <c r="L433" s="251">
        <f t="shared" si="49"/>
        <v>8.0000000000000016E-2</v>
      </c>
    </row>
    <row r="434" spans="1:12">
      <c r="A434" s="203"/>
      <c r="B434" s="201"/>
      <c r="C434" s="394"/>
      <c r="D434" s="350" t="s">
        <v>85</v>
      </c>
      <c r="E434" s="351"/>
      <c r="F434" s="351"/>
      <c r="G434" s="352">
        <v>10</v>
      </c>
      <c r="H434" s="353"/>
      <c r="I434" s="352">
        <v>8</v>
      </c>
      <c r="J434" s="353"/>
      <c r="K434">
        <v>30</v>
      </c>
      <c r="L434" s="251">
        <f t="shared" si="49"/>
        <v>0.3</v>
      </c>
    </row>
    <row r="435" spans="1:12">
      <c r="A435" s="203"/>
      <c r="B435" s="201"/>
      <c r="C435" s="394"/>
      <c r="D435" s="350" t="s">
        <v>363</v>
      </c>
      <c r="E435" s="351"/>
      <c r="F435" s="351"/>
      <c r="G435" s="381">
        <v>0.01</v>
      </c>
      <c r="H435" s="382"/>
      <c r="I435" s="381">
        <v>0.01</v>
      </c>
      <c r="J435" s="382"/>
      <c r="L435" s="251">
        <f t="shared" si="49"/>
        <v>0</v>
      </c>
    </row>
    <row r="436" spans="1:12">
      <c r="A436" s="203"/>
      <c r="B436" s="201"/>
      <c r="C436" s="394"/>
      <c r="D436" s="350" t="s">
        <v>86</v>
      </c>
      <c r="E436" s="351"/>
      <c r="F436" s="351"/>
      <c r="G436" s="352">
        <v>9.6</v>
      </c>
      <c r="H436" s="353"/>
      <c r="I436" s="352">
        <v>8</v>
      </c>
      <c r="J436" s="353"/>
      <c r="K436">
        <v>20</v>
      </c>
      <c r="L436" s="251">
        <f t="shared" si="49"/>
        <v>0.192</v>
      </c>
    </row>
    <row r="437" spans="1:12">
      <c r="A437" s="203"/>
      <c r="B437" s="201"/>
      <c r="C437" s="394"/>
      <c r="D437" s="350" t="s">
        <v>81</v>
      </c>
      <c r="E437" s="351"/>
      <c r="F437" s="351"/>
      <c r="G437" s="352">
        <v>2</v>
      </c>
      <c r="H437" s="353"/>
      <c r="I437" s="352">
        <v>2</v>
      </c>
      <c r="J437" s="353"/>
      <c r="K437">
        <v>140</v>
      </c>
      <c r="L437" s="251">
        <f t="shared" si="49"/>
        <v>0.28000000000000003</v>
      </c>
    </row>
    <row r="438" spans="1:12">
      <c r="A438" s="203"/>
      <c r="B438" s="201"/>
      <c r="C438" s="394"/>
      <c r="D438" s="350" t="s">
        <v>84</v>
      </c>
      <c r="E438" s="351"/>
      <c r="F438" s="351"/>
      <c r="G438" s="352">
        <v>80</v>
      </c>
      <c r="H438" s="353"/>
      <c r="I438" s="352">
        <v>60</v>
      </c>
      <c r="J438" s="353"/>
      <c r="K438">
        <v>27</v>
      </c>
      <c r="L438" s="251">
        <f t="shared" si="49"/>
        <v>2.16</v>
      </c>
    </row>
    <row r="439" spans="1:12">
      <c r="A439" s="203"/>
      <c r="B439" s="201"/>
      <c r="C439" s="394"/>
      <c r="D439" s="348" t="s">
        <v>94</v>
      </c>
      <c r="E439" s="348"/>
      <c r="F439" s="348"/>
      <c r="G439" s="349">
        <v>1.2</v>
      </c>
      <c r="H439" s="349"/>
      <c r="I439" s="349">
        <v>1</v>
      </c>
      <c r="J439" s="349"/>
      <c r="K439">
        <v>17</v>
      </c>
      <c r="L439" s="251">
        <f t="shared" si="49"/>
        <v>2.0400000000000001E-2</v>
      </c>
    </row>
    <row r="440" spans="1:12">
      <c r="A440" s="203"/>
      <c r="B440" s="201"/>
      <c r="C440" s="394"/>
      <c r="D440" s="348" t="s">
        <v>101</v>
      </c>
      <c r="E440" s="348"/>
      <c r="F440" s="348"/>
      <c r="G440" s="407">
        <v>0.01</v>
      </c>
      <c r="H440" s="407"/>
      <c r="I440" s="349">
        <v>0.01</v>
      </c>
      <c r="J440" s="349"/>
      <c r="K440">
        <v>1000</v>
      </c>
      <c r="L440" s="251">
        <f t="shared" si="49"/>
        <v>0.01</v>
      </c>
    </row>
    <row r="441" spans="1:12">
      <c r="A441" s="203"/>
      <c r="B441" s="201"/>
      <c r="C441" s="394"/>
      <c r="D441" s="354" t="s">
        <v>74</v>
      </c>
      <c r="E441" s="354"/>
      <c r="F441" s="354"/>
      <c r="G441" s="355" t="s">
        <v>30</v>
      </c>
      <c r="H441" s="355"/>
      <c r="I441" s="356">
        <v>200</v>
      </c>
      <c r="J441" s="356"/>
    </row>
    <row r="442" spans="1:12">
      <c r="A442" s="203"/>
      <c r="B442" s="201"/>
      <c r="C442" s="394"/>
      <c r="D442" s="203"/>
      <c r="E442" s="203"/>
      <c r="F442" s="203"/>
      <c r="G442" s="203"/>
      <c r="H442" s="203"/>
      <c r="I442" s="203"/>
      <c r="J442" s="203"/>
    </row>
    <row r="443" spans="1:12">
      <c r="A443" s="203"/>
      <c r="B443" s="201" t="s">
        <v>71</v>
      </c>
      <c r="C443" s="394">
        <v>100</v>
      </c>
      <c r="D443" s="203"/>
      <c r="E443" s="203"/>
      <c r="F443" s="203"/>
      <c r="G443" s="347" t="s">
        <v>181</v>
      </c>
      <c r="H443" s="347"/>
      <c r="I443" s="347" t="s">
        <v>182</v>
      </c>
      <c r="J443" s="347"/>
      <c r="L443" s="254">
        <f>SUM(L444:L449)</f>
        <v>27.560709999999997</v>
      </c>
    </row>
    <row r="444" spans="1:12">
      <c r="A444" s="203"/>
      <c r="B444" s="201"/>
      <c r="C444" s="394"/>
      <c r="D444" s="348" t="s">
        <v>92</v>
      </c>
      <c r="E444" s="348"/>
      <c r="F444" s="348"/>
      <c r="G444" s="349">
        <v>87</v>
      </c>
      <c r="H444" s="349"/>
      <c r="I444" s="349">
        <v>77</v>
      </c>
      <c r="J444" s="349"/>
      <c r="K444">
        <v>270</v>
      </c>
      <c r="L444">
        <f>K444*G444/1000</f>
        <v>23.49</v>
      </c>
    </row>
    <row r="445" spans="1:12">
      <c r="A445" s="203"/>
      <c r="B445" s="201"/>
      <c r="C445" s="394"/>
      <c r="D445" s="350" t="s">
        <v>4</v>
      </c>
      <c r="E445" s="351"/>
      <c r="F445" s="351"/>
      <c r="G445" s="352">
        <v>14.5</v>
      </c>
      <c r="H445" s="353"/>
      <c r="I445" s="352">
        <v>14.5</v>
      </c>
      <c r="J445" s="353"/>
      <c r="K445">
        <v>45.54</v>
      </c>
      <c r="L445">
        <f t="shared" ref="L445:L449" si="50">K445*G445/1000</f>
        <v>0.66033000000000008</v>
      </c>
    </row>
    <row r="446" spans="1:12">
      <c r="A446" s="203"/>
      <c r="B446" s="201"/>
      <c r="C446" s="394"/>
      <c r="D446" s="350" t="s">
        <v>26</v>
      </c>
      <c r="E446" s="351"/>
      <c r="F446" s="351"/>
      <c r="G446" s="352">
        <v>22</v>
      </c>
      <c r="H446" s="353"/>
      <c r="I446" s="352">
        <v>22</v>
      </c>
      <c r="J446" s="353"/>
      <c r="K446">
        <v>48.19</v>
      </c>
      <c r="L446">
        <f t="shared" si="50"/>
        <v>1.0601799999999999</v>
      </c>
    </row>
    <row r="447" spans="1:12">
      <c r="A447" s="203"/>
      <c r="B447" s="201"/>
      <c r="C447" s="394"/>
      <c r="D447" s="350" t="s">
        <v>93</v>
      </c>
      <c r="E447" s="351"/>
      <c r="F447" s="351"/>
      <c r="G447" s="352">
        <v>10</v>
      </c>
      <c r="H447" s="353"/>
      <c r="I447" s="352">
        <v>10</v>
      </c>
      <c r="J447" s="353"/>
      <c r="K447">
        <v>150</v>
      </c>
      <c r="L447">
        <f t="shared" si="50"/>
        <v>1.5</v>
      </c>
    </row>
    <row r="448" spans="1:12">
      <c r="A448" s="203"/>
      <c r="B448" s="201"/>
      <c r="C448" s="394"/>
      <c r="D448" s="350" t="s">
        <v>81</v>
      </c>
      <c r="E448" s="351"/>
      <c r="F448" s="351"/>
      <c r="G448" s="375">
        <v>6</v>
      </c>
      <c r="H448" s="376"/>
      <c r="I448" s="352">
        <v>6</v>
      </c>
      <c r="J448" s="353"/>
      <c r="K448">
        <v>140</v>
      </c>
      <c r="L448">
        <f t="shared" si="50"/>
        <v>0.84</v>
      </c>
    </row>
    <row r="449" spans="1:12">
      <c r="A449" s="203"/>
      <c r="B449" s="201"/>
      <c r="C449" s="394"/>
      <c r="D449" s="348" t="s">
        <v>94</v>
      </c>
      <c r="E449" s="348"/>
      <c r="F449" s="348"/>
      <c r="G449" s="349">
        <v>0.6</v>
      </c>
      <c r="H449" s="349"/>
      <c r="I449" s="349">
        <v>0.6</v>
      </c>
      <c r="J449" s="349"/>
      <c r="K449">
        <v>17</v>
      </c>
      <c r="L449">
        <f t="shared" si="50"/>
        <v>1.0199999999999999E-2</v>
      </c>
    </row>
    <row r="450" spans="1:12">
      <c r="A450" s="203"/>
      <c r="B450" s="201"/>
      <c r="C450" s="394"/>
      <c r="D450" s="354" t="s">
        <v>74</v>
      </c>
      <c r="E450" s="354"/>
      <c r="F450" s="354"/>
      <c r="G450" s="355" t="s">
        <v>30</v>
      </c>
      <c r="H450" s="355"/>
      <c r="I450" s="356">
        <v>90</v>
      </c>
      <c r="J450" s="356"/>
    </row>
    <row r="451" spans="1:12">
      <c r="A451" s="203"/>
      <c r="B451" s="201"/>
      <c r="C451" s="394"/>
      <c r="D451" s="203"/>
      <c r="E451" s="203"/>
      <c r="F451" s="203"/>
      <c r="G451" s="203"/>
      <c r="H451" s="203"/>
      <c r="I451" s="203"/>
      <c r="J451" s="203"/>
    </row>
    <row r="452" spans="1:12">
      <c r="A452" s="203"/>
      <c r="B452" s="201" t="s">
        <v>377</v>
      </c>
      <c r="C452" s="394">
        <v>180</v>
      </c>
      <c r="D452" s="203"/>
      <c r="E452" s="203"/>
      <c r="F452" s="203"/>
      <c r="G452" s="203"/>
      <c r="H452" s="203"/>
      <c r="I452" s="203"/>
      <c r="J452" s="203"/>
      <c r="L452" s="269">
        <f>SUM(L453:L456)</f>
        <v>6.3334000000000001</v>
      </c>
    </row>
    <row r="453" spans="1:12">
      <c r="A453" s="203"/>
      <c r="B453" s="201"/>
      <c r="C453" s="394"/>
      <c r="D453" s="348" t="s">
        <v>27</v>
      </c>
      <c r="E453" s="348"/>
      <c r="F453" s="348"/>
      <c r="G453" s="349">
        <v>120</v>
      </c>
      <c r="H453" s="349"/>
      <c r="I453" s="349">
        <v>120</v>
      </c>
      <c r="J453" s="349"/>
      <c r="L453">
        <f t="shared" ref="L453:L456" si="51">K453*G453/1000</f>
        <v>0</v>
      </c>
    </row>
    <row r="454" spans="1:12">
      <c r="A454" s="203"/>
      <c r="B454" s="201"/>
      <c r="C454" s="394"/>
      <c r="D454" s="350" t="s">
        <v>113</v>
      </c>
      <c r="E454" s="351"/>
      <c r="F454" s="351"/>
      <c r="G454" s="352">
        <v>52</v>
      </c>
      <c r="H454" s="353"/>
      <c r="I454" s="352">
        <v>52</v>
      </c>
      <c r="J454" s="353"/>
      <c r="K454">
        <v>90</v>
      </c>
      <c r="L454">
        <f t="shared" si="51"/>
        <v>4.68</v>
      </c>
    </row>
    <row r="455" spans="1:12">
      <c r="A455" s="203"/>
      <c r="B455" s="201"/>
      <c r="C455" s="394"/>
      <c r="D455" s="350" t="s">
        <v>20</v>
      </c>
      <c r="E455" s="351"/>
      <c r="F455" s="351"/>
      <c r="G455" s="352">
        <v>3</v>
      </c>
      <c r="H455" s="353"/>
      <c r="I455" s="352">
        <v>3</v>
      </c>
      <c r="J455" s="353"/>
      <c r="K455">
        <v>550</v>
      </c>
      <c r="L455">
        <f t="shared" si="51"/>
        <v>1.65</v>
      </c>
    </row>
    <row r="456" spans="1:12">
      <c r="A456" s="203"/>
      <c r="B456" s="201"/>
      <c r="C456" s="394"/>
      <c r="D456" s="348" t="s">
        <v>94</v>
      </c>
      <c r="E456" s="348"/>
      <c r="F456" s="348"/>
      <c r="G456" s="349">
        <v>0.2</v>
      </c>
      <c r="H456" s="349"/>
      <c r="I456" s="349">
        <v>0.2</v>
      </c>
      <c r="J456" s="349"/>
      <c r="K456">
        <v>17</v>
      </c>
      <c r="L456">
        <f t="shared" si="51"/>
        <v>3.4000000000000002E-3</v>
      </c>
    </row>
    <row r="457" spans="1:12">
      <c r="A457" s="203"/>
      <c r="B457" s="201"/>
      <c r="C457" s="394"/>
      <c r="D457" s="354" t="s">
        <v>74</v>
      </c>
      <c r="E457" s="354"/>
      <c r="F457" s="354"/>
      <c r="G457" s="355" t="s">
        <v>30</v>
      </c>
      <c r="H457" s="355"/>
      <c r="I457" s="356">
        <v>150</v>
      </c>
      <c r="J457" s="356"/>
    </row>
    <row r="458" spans="1:12">
      <c r="A458" s="203"/>
      <c r="B458" s="201"/>
      <c r="C458" s="394"/>
      <c r="D458" s="203"/>
      <c r="E458" s="203"/>
      <c r="F458" s="203"/>
      <c r="G458" s="203"/>
      <c r="H458" s="203"/>
      <c r="I458" s="203"/>
      <c r="J458" s="203"/>
    </row>
    <row r="459" spans="1:12">
      <c r="A459" s="203"/>
      <c r="B459" s="201" t="s">
        <v>95</v>
      </c>
      <c r="C459" s="394">
        <v>200</v>
      </c>
      <c r="D459" s="348" t="s">
        <v>378</v>
      </c>
      <c r="E459" s="348"/>
      <c r="F459" s="348"/>
      <c r="G459" s="408">
        <v>200</v>
      </c>
      <c r="H459" s="408"/>
      <c r="I459" s="408">
        <v>200</v>
      </c>
      <c r="J459" s="408"/>
      <c r="K459">
        <v>34</v>
      </c>
      <c r="L459" s="269">
        <f t="shared" ref="L459" si="52">K459*G459/1000</f>
        <v>6.8</v>
      </c>
    </row>
    <row r="460" spans="1:12">
      <c r="A460" s="203"/>
      <c r="B460" s="201"/>
      <c r="C460" s="394"/>
      <c r="D460" s="203"/>
      <c r="E460" s="203"/>
      <c r="F460" s="203"/>
      <c r="G460" s="203"/>
      <c r="H460" s="203"/>
      <c r="I460" s="203"/>
      <c r="J460" s="203"/>
    </row>
    <row r="461" spans="1:12">
      <c r="A461" s="203"/>
      <c r="B461" s="201" t="s">
        <v>263</v>
      </c>
      <c r="C461" s="394">
        <v>40</v>
      </c>
      <c r="D461" s="348" t="s">
        <v>263</v>
      </c>
      <c r="E461" s="348"/>
      <c r="F461" s="348"/>
      <c r="G461" s="349">
        <v>40</v>
      </c>
      <c r="H461" s="349"/>
      <c r="I461" s="349">
        <v>40</v>
      </c>
      <c r="J461" s="349"/>
      <c r="K461">
        <v>29.72</v>
      </c>
      <c r="L461" s="254">
        <f>K461/1000*G461</f>
        <v>1.1888000000000001</v>
      </c>
    </row>
    <row r="462" spans="1:12">
      <c r="A462" s="203"/>
      <c r="B462" s="201"/>
      <c r="C462" s="394"/>
      <c r="D462" s="203"/>
      <c r="E462" s="203"/>
      <c r="F462" s="203"/>
      <c r="G462" s="203"/>
      <c r="H462" s="203"/>
      <c r="I462" s="203"/>
      <c r="J462" s="203"/>
    </row>
    <row r="463" spans="1:12">
      <c r="A463" s="203"/>
      <c r="B463" s="201" t="s">
        <v>4</v>
      </c>
      <c r="C463" s="394">
        <v>30</v>
      </c>
      <c r="D463" s="348" t="s">
        <v>4</v>
      </c>
      <c r="E463" s="348"/>
      <c r="F463" s="348"/>
      <c r="G463" s="349">
        <v>30</v>
      </c>
      <c r="H463" s="349"/>
      <c r="I463" s="349">
        <v>30</v>
      </c>
      <c r="J463" s="349"/>
      <c r="K463">
        <v>45.54</v>
      </c>
      <c r="L463" s="254">
        <f>K463/1000*G463</f>
        <v>1.3661999999999999</v>
      </c>
    </row>
    <row r="464" spans="1:12">
      <c r="A464" s="203" t="s">
        <v>384</v>
      </c>
      <c r="B464" s="201" t="s">
        <v>268</v>
      </c>
      <c r="C464" s="394">
        <v>100</v>
      </c>
      <c r="D464" s="203"/>
      <c r="E464" s="203"/>
      <c r="F464" s="203"/>
      <c r="G464" s="347" t="s">
        <v>181</v>
      </c>
      <c r="H464" s="347"/>
      <c r="I464" s="347" t="s">
        <v>182</v>
      </c>
      <c r="J464" s="347"/>
      <c r="L464" s="229">
        <f>L465+L466+L467</f>
        <v>3.1055000000000001</v>
      </c>
    </row>
    <row r="465" spans="1:12">
      <c r="A465" s="203"/>
      <c r="B465" s="201"/>
      <c r="C465" s="394"/>
      <c r="D465" s="348" t="s">
        <v>116</v>
      </c>
      <c r="E465" s="348"/>
      <c r="F465" s="348"/>
      <c r="G465" s="349">
        <v>76</v>
      </c>
      <c r="H465" s="349"/>
      <c r="I465" s="349">
        <v>57</v>
      </c>
      <c r="J465" s="349"/>
      <c r="K465">
        <v>35</v>
      </c>
      <c r="L465">
        <f>G465*K465/1000</f>
        <v>2.66</v>
      </c>
    </row>
    <row r="466" spans="1:12">
      <c r="A466" s="203"/>
      <c r="B466" s="201"/>
      <c r="C466" s="394"/>
      <c r="D466" s="348" t="s">
        <v>94</v>
      </c>
      <c r="E466" s="348"/>
      <c r="F466" s="348"/>
      <c r="G466" s="349">
        <v>1.5</v>
      </c>
      <c r="H466" s="349"/>
      <c r="I466" s="349">
        <v>1.5</v>
      </c>
      <c r="J466" s="349"/>
      <c r="K466">
        <v>17</v>
      </c>
      <c r="L466">
        <f t="shared" ref="L466:L467" si="53">G466*K466/1000</f>
        <v>2.5499999999999998E-2</v>
      </c>
    </row>
    <row r="467" spans="1:12">
      <c r="A467" s="203"/>
      <c r="B467" s="201"/>
      <c r="C467" s="394"/>
      <c r="D467" s="348" t="s">
        <v>81</v>
      </c>
      <c r="E467" s="348"/>
      <c r="F467" s="348"/>
      <c r="G467" s="349">
        <v>3</v>
      </c>
      <c r="H467" s="349"/>
      <c r="I467" s="349">
        <v>3</v>
      </c>
      <c r="J467" s="349"/>
      <c r="K467">
        <v>140</v>
      </c>
      <c r="L467">
        <f t="shared" si="53"/>
        <v>0.42</v>
      </c>
    </row>
    <row r="468" spans="1:12">
      <c r="A468" s="203"/>
      <c r="B468" s="201"/>
      <c r="C468" s="394"/>
      <c r="D468" s="354" t="s">
        <v>74</v>
      </c>
      <c r="E468" s="354"/>
      <c r="F468" s="354"/>
      <c r="G468" s="355" t="s">
        <v>30</v>
      </c>
      <c r="H468" s="355"/>
      <c r="I468" s="356">
        <v>60</v>
      </c>
      <c r="J468" s="356"/>
    </row>
    <row r="469" spans="1:12">
      <c r="A469" s="203"/>
      <c r="B469" s="201"/>
      <c r="C469" s="394"/>
      <c r="D469" s="203"/>
      <c r="E469" s="203"/>
      <c r="F469" s="203"/>
      <c r="G469" s="203"/>
      <c r="H469" s="203"/>
      <c r="I469" s="203"/>
      <c r="J469" s="203"/>
    </row>
    <row r="470" spans="1:12" ht="15" customHeight="1">
      <c r="A470" s="203"/>
      <c r="B470" s="208" t="s">
        <v>59</v>
      </c>
      <c r="C470" s="394">
        <v>250</v>
      </c>
      <c r="D470" s="203"/>
      <c r="E470" s="203"/>
      <c r="F470" s="203"/>
      <c r="G470" s="347" t="s">
        <v>181</v>
      </c>
      <c r="H470" s="347"/>
      <c r="I470" s="347" t="s">
        <v>182</v>
      </c>
      <c r="J470" s="347"/>
      <c r="L470" s="269">
        <f>SUM(L471:L482)</f>
        <v>5.5021999999999993</v>
      </c>
    </row>
    <row r="471" spans="1:12" ht="36">
      <c r="A471" s="203"/>
      <c r="B471" s="201"/>
      <c r="C471" s="394"/>
      <c r="D471" s="369" t="s">
        <v>83</v>
      </c>
      <c r="E471" s="369"/>
      <c r="F471" s="369"/>
      <c r="G471" s="357">
        <v>50</v>
      </c>
      <c r="H471" s="394"/>
      <c r="I471" s="357">
        <v>40</v>
      </c>
      <c r="J471" s="394"/>
      <c r="K471">
        <v>45</v>
      </c>
      <c r="L471">
        <f t="shared" ref="L471:L480" si="54">G471*K471/1000</f>
        <v>2.25</v>
      </c>
    </row>
    <row r="472" spans="1:12">
      <c r="A472" s="203"/>
      <c r="B472" s="201"/>
      <c r="C472" s="394"/>
      <c r="D472" s="369" t="s">
        <v>84</v>
      </c>
      <c r="E472" s="369"/>
      <c r="F472" s="369"/>
      <c r="G472" s="357">
        <v>30</v>
      </c>
      <c r="H472" s="394"/>
      <c r="I472" s="357">
        <v>24</v>
      </c>
      <c r="J472" s="394"/>
      <c r="K472">
        <v>27</v>
      </c>
      <c r="L472">
        <f t="shared" si="54"/>
        <v>0.81</v>
      </c>
    </row>
    <row r="473" spans="1:12" ht="15" customHeight="1">
      <c r="A473" s="203"/>
      <c r="B473" s="201"/>
      <c r="C473" s="394"/>
      <c r="D473" s="369" t="s">
        <v>85</v>
      </c>
      <c r="E473" s="369"/>
      <c r="F473" s="369"/>
      <c r="G473" s="357">
        <v>10</v>
      </c>
      <c r="H473" s="394"/>
      <c r="I473" s="357">
        <v>8</v>
      </c>
      <c r="J473" s="394"/>
      <c r="K473">
        <v>30</v>
      </c>
      <c r="L473">
        <f t="shared" si="54"/>
        <v>0.3</v>
      </c>
    </row>
    <row r="474" spans="1:12" ht="15" customHeight="1">
      <c r="A474" s="203"/>
      <c r="B474" s="201"/>
      <c r="C474" s="394"/>
      <c r="D474" s="369" t="s">
        <v>86</v>
      </c>
      <c r="E474" s="369"/>
      <c r="F474" s="369"/>
      <c r="G474" s="357">
        <v>9.5</v>
      </c>
      <c r="H474" s="394"/>
      <c r="I474" s="357">
        <v>8</v>
      </c>
      <c r="J474" s="394"/>
      <c r="K474">
        <v>20</v>
      </c>
      <c r="L474">
        <f t="shared" si="54"/>
        <v>0.19</v>
      </c>
    </row>
    <row r="475" spans="1:12" ht="15" customHeight="1">
      <c r="A475" s="203"/>
      <c r="B475" s="201"/>
      <c r="C475" s="394"/>
      <c r="D475" s="369" t="s">
        <v>81</v>
      </c>
      <c r="E475" s="369"/>
      <c r="F475" s="369"/>
      <c r="G475" s="357">
        <v>4</v>
      </c>
      <c r="H475" s="394"/>
      <c r="I475" s="357">
        <v>4</v>
      </c>
      <c r="J475" s="394"/>
      <c r="K475">
        <v>140</v>
      </c>
      <c r="L475">
        <f t="shared" si="54"/>
        <v>0.56000000000000005</v>
      </c>
    </row>
    <row r="476" spans="1:12" ht="24">
      <c r="A476" s="203"/>
      <c r="B476" s="201"/>
      <c r="C476" s="394"/>
      <c r="D476" s="369" t="s">
        <v>336</v>
      </c>
      <c r="E476" s="369"/>
      <c r="F476" s="369"/>
      <c r="G476" s="357">
        <v>4</v>
      </c>
      <c r="H476" s="394"/>
      <c r="I476" s="357">
        <v>4</v>
      </c>
      <c r="J476" s="394"/>
      <c r="L476">
        <f t="shared" si="54"/>
        <v>0</v>
      </c>
    </row>
    <row r="477" spans="1:12" ht="15" customHeight="1">
      <c r="A477" s="203"/>
      <c r="B477" s="201"/>
      <c r="C477" s="394"/>
      <c r="D477" s="369" t="s">
        <v>27</v>
      </c>
      <c r="E477" s="369"/>
      <c r="F477" s="369"/>
      <c r="G477" s="357">
        <v>160</v>
      </c>
      <c r="H477" s="394"/>
      <c r="I477" s="357">
        <v>160</v>
      </c>
      <c r="J477" s="394"/>
      <c r="L477">
        <f t="shared" si="54"/>
        <v>0</v>
      </c>
    </row>
    <row r="478" spans="1:12" ht="15" customHeight="1">
      <c r="A478" s="203"/>
      <c r="B478" s="201"/>
      <c r="C478" s="394"/>
      <c r="D478" s="369" t="s">
        <v>89</v>
      </c>
      <c r="E478" s="369"/>
      <c r="F478" s="369"/>
      <c r="G478" s="357">
        <v>160</v>
      </c>
      <c r="H478" s="394"/>
      <c r="I478" s="357">
        <v>160</v>
      </c>
      <c r="J478" s="394"/>
      <c r="L478">
        <f t="shared" si="54"/>
        <v>0</v>
      </c>
    </row>
    <row r="479" spans="1:12" ht="36">
      <c r="A479" s="203"/>
      <c r="B479" s="201"/>
      <c r="C479" s="394"/>
      <c r="D479" s="369" t="s">
        <v>173</v>
      </c>
      <c r="E479" s="369"/>
      <c r="F479" s="369"/>
      <c r="G479" s="357">
        <v>160</v>
      </c>
      <c r="H479" s="394"/>
      <c r="I479" s="357">
        <v>160</v>
      </c>
      <c r="J479" s="394"/>
      <c r="L479">
        <f t="shared" si="54"/>
        <v>0</v>
      </c>
    </row>
    <row r="480" spans="1:12" ht="15" customHeight="1">
      <c r="A480" s="203"/>
      <c r="B480" s="201"/>
      <c r="C480" s="394"/>
      <c r="D480" s="369" t="s">
        <v>109</v>
      </c>
      <c r="E480" s="369"/>
      <c r="F480" s="369"/>
      <c r="G480" s="357">
        <v>8</v>
      </c>
      <c r="H480" s="394"/>
      <c r="I480" s="357">
        <v>8</v>
      </c>
      <c r="J480" s="394"/>
      <c r="K480">
        <v>173.6</v>
      </c>
      <c r="L480">
        <f t="shared" si="54"/>
        <v>1.3888</v>
      </c>
    </row>
    <row r="481" spans="1:12" ht="15" customHeight="1">
      <c r="A481" s="203"/>
      <c r="B481" s="201"/>
      <c r="C481" s="394"/>
      <c r="D481" s="369" t="s">
        <v>337</v>
      </c>
      <c r="E481" s="369"/>
      <c r="F481" s="369"/>
      <c r="G481" s="357" t="s">
        <v>30</v>
      </c>
      <c r="H481" s="394"/>
      <c r="I481" s="357" t="s">
        <v>30</v>
      </c>
      <c r="J481" s="394"/>
    </row>
    <row r="482" spans="1:12" ht="48">
      <c r="A482" s="203"/>
      <c r="B482" s="201"/>
      <c r="C482" s="394"/>
      <c r="D482" s="369" t="s">
        <v>29</v>
      </c>
      <c r="E482" s="369"/>
      <c r="F482" s="369"/>
      <c r="G482" s="357">
        <v>0.2</v>
      </c>
      <c r="H482" s="394"/>
      <c r="I482" s="357">
        <v>0.2</v>
      </c>
      <c r="J482" s="394"/>
      <c r="K482">
        <v>17</v>
      </c>
      <c r="L482">
        <f t="shared" ref="L482" si="55">G482*K482/1000</f>
        <v>3.4000000000000002E-3</v>
      </c>
    </row>
    <row r="483" spans="1:12">
      <c r="A483" s="203"/>
      <c r="B483" s="201"/>
      <c r="C483" s="394"/>
      <c r="D483" s="371" t="s">
        <v>21</v>
      </c>
      <c r="E483" s="371"/>
      <c r="F483" s="371"/>
      <c r="G483" s="357">
        <v>200</v>
      </c>
      <c r="H483" s="357"/>
      <c r="I483" s="394"/>
      <c r="J483" s="394"/>
    </row>
    <row r="484" spans="1:12">
      <c r="A484" s="203"/>
      <c r="B484" s="201"/>
      <c r="C484" s="394"/>
      <c r="D484" s="203"/>
      <c r="E484" s="203"/>
      <c r="F484" s="203"/>
      <c r="G484" s="203"/>
      <c r="H484" s="203"/>
      <c r="I484" s="203"/>
      <c r="J484" s="203"/>
    </row>
    <row r="485" spans="1:12">
      <c r="A485" s="203"/>
      <c r="B485" s="201" t="s">
        <v>70</v>
      </c>
      <c r="C485" s="394">
        <v>100</v>
      </c>
      <c r="D485" s="203"/>
      <c r="E485" s="203"/>
      <c r="F485" s="203"/>
      <c r="G485" s="203"/>
      <c r="H485" s="203"/>
      <c r="I485" s="203"/>
      <c r="J485" s="203"/>
      <c r="L485" s="269">
        <f>SUM(L486:L491)</f>
        <v>21.394099999999998</v>
      </c>
    </row>
    <row r="486" spans="1:12">
      <c r="A486" s="203"/>
      <c r="B486" s="201"/>
      <c r="C486" s="394"/>
      <c r="D486" s="276" t="s">
        <v>108</v>
      </c>
      <c r="E486" s="277"/>
      <c r="F486" s="277"/>
      <c r="G486" s="278">
        <v>120</v>
      </c>
      <c r="H486" s="234"/>
      <c r="I486" s="278">
        <v>102</v>
      </c>
      <c r="J486" s="234"/>
      <c r="K486">
        <v>149.1</v>
      </c>
      <c r="L486">
        <f t="shared" ref="L486:L491" si="56">G486*K486/1000</f>
        <v>17.891999999999999</v>
      </c>
    </row>
    <row r="487" spans="1:12">
      <c r="A487" s="203"/>
      <c r="B487" s="201"/>
      <c r="C487" s="394"/>
      <c r="D487" s="279" t="s">
        <v>109</v>
      </c>
      <c r="E487" s="211"/>
      <c r="F487" s="211"/>
      <c r="G487" s="280">
        <v>10</v>
      </c>
      <c r="H487" s="236"/>
      <c r="I487" s="280">
        <v>10</v>
      </c>
      <c r="J487" s="236"/>
      <c r="K487">
        <v>173.6</v>
      </c>
      <c r="L487">
        <f t="shared" si="56"/>
        <v>1.736</v>
      </c>
    </row>
    <row r="488" spans="1:12">
      <c r="A488" s="203"/>
      <c r="B488" s="201"/>
      <c r="C488" s="394"/>
      <c r="D488" s="279" t="s">
        <v>110</v>
      </c>
      <c r="E488" s="211"/>
      <c r="F488" s="211"/>
      <c r="G488" s="280">
        <v>10</v>
      </c>
      <c r="H488" s="236"/>
      <c r="I488" s="280">
        <v>10</v>
      </c>
      <c r="J488" s="236"/>
      <c r="L488">
        <f t="shared" si="56"/>
        <v>0</v>
      </c>
    </row>
    <row r="489" spans="1:12">
      <c r="A489" s="203"/>
      <c r="B489" s="201"/>
      <c r="C489" s="394"/>
      <c r="D489" s="279" t="s">
        <v>111</v>
      </c>
      <c r="E489" s="211"/>
      <c r="F489" s="211"/>
      <c r="G489" s="280">
        <v>3</v>
      </c>
      <c r="H489" s="236"/>
      <c r="I489" s="280">
        <v>3</v>
      </c>
      <c r="J489" s="236"/>
      <c r="K489">
        <v>37</v>
      </c>
      <c r="L489">
        <f t="shared" si="56"/>
        <v>0.111</v>
      </c>
    </row>
    <row r="490" spans="1:12">
      <c r="A490" s="203"/>
      <c r="B490" s="201"/>
      <c r="C490" s="394"/>
      <c r="D490" s="279" t="s">
        <v>20</v>
      </c>
      <c r="E490" s="211"/>
      <c r="F490" s="211"/>
      <c r="G490" s="280">
        <v>3</v>
      </c>
      <c r="H490" s="236"/>
      <c r="I490" s="280">
        <v>3</v>
      </c>
      <c r="J490" s="236"/>
      <c r="K490">
        <v>550</v>
      </c>
      <c r="L490">
        <f t="shared" si="56"/>
        <v>1.65</v>
      </c>
    </row>
    <row r="491" spans="1:12">
      <c r="A491" s="203"/>
      <c r="B491" s="201"/>
      <c r="C491" s="394"/>
      <c r="D491" s="219" t="s">
        <v>94</v>
      </c>
      <c r="E491" s="220"/>
      <c r="F491" s="220"/>
      <c r="G491" s="281">
        <v>0.3</v>
      </c>
      <c r="H491" s="238"/>
      <c r="I491" s="281">
        <v>0.3</v>
      </c>
      <c r="J491" s="238"/>
      <c r="K491">
        <v>17</v>
      </c>
      <c r="L491">
        <f t="shared" si="56"/>
        <v>5.0999999999999995E-3</v>
      </c>
    </row>
    <row r="492" spans="1:12">
      <c r="A492" s="203"/>
      <c r="B492" s="201"/>
      <c r="C492" s="394"/>
      <c r="D492" s="221" t="s">
        <v>74</v>
      </c>
      <c r="E492" s="222"/>
      <c r="F492" s="222"/>
      <c r="G492" s="221" t="s">
        <v>30</v>
      </c>
      <c r="H492" s="223"/>
      <c r="I492" s="221">
        <v>90</v>
      </c>
      <c r="J492" s="223"/>
    </row>
    <row r="493" spans="1:12">
      <c r="A493" s="203"/>
      <c r="B493" s="201"/>
      <c r="C493" s="394"/>
      <c r="D493" s="203"/>
      <c r="E493" s="203"/>
      <c r="F493" s="203"/>
      <c r="G493" s="203"/>
      <c r="H493" s="203"/>
      <c r="I493" s="203"/>
      <c r="J493" s="203"/>
    </row>
    <row r="494" spans="1:12">
      <c r="A494" s="203"/>
      <c r="B494" s="201" t="s">
        <v>329</v>
      </c>
      <c r="C494" s="394">
        <v>180</v>
      </c>
      <c r="D494" s="203"/>
      <c r="E494" s="203"/>
      <c r="F494" s="203"/>
      <c r="G494" s="347" t="s">
        <v>181</v>
      </c>
      <c r="H494" s="347"/>
      <c r="I494" s="347" t="s">
        <v>182</v>
      </c>
      <c r="J494" s="347"/>
      <c r="L494" s="229">
        <f>SUM(L495:L498)</f>
        <v>7.4011799999999992</v>
      </c>
    </row>
    <row r="495" spans="1:12">
      <c r="A495" s="203"/>
      <c r="B495" s="201"/>
      <c r="C495" s="394"/>
      <c r="D495" s="348" t="s">
        <v>330</v>
      </c>
      <c r="E495" s="348"/>
      <c r="F495" s="348"/>
      <c r="G495" s="349">
        <f>170*I499/150</f>
        <v>170</v>
      </c>
      <c r="H495" s="349"/>
      <c r="I495" s="349">
        <f>128*I499/150</f>
        <v>128</v>
      </c>
      <c r="J495" s="349"/>
      <c r="K495">
        <v>27</v>
      </c>
      <c r="L495">
        <f>G495*K495/1000</f>
        <v>4.59</v>
      </c>
    </row>
    <row r="496" spans="1:12">
      <c r="A496" s="203"/>
      <c r="B496" s="201"/>
      <c r="C496" s="394"/>
      <c r="D496" s="350" t="s">
        <v>26</v>
      </c>
      <c r="E496" s="351"/>
      <c r="F496" s="351"/>
      <c r="G496" s="352">
        <f>24*I499/150</f>
        <v>24</v>
      </c>
      <c r="H496" s="353"/>
      <c r="I496" s="352">
        <f>24*I499/150</f>
        <v>24</v>
      </c>
      <c r="J496" s="353"/>
      <c r="K496">
        <v>48.17</v>
      </c>
      <c r="L496">
        <f t="shared" ref="L496:L498" si="57">G496*K496/1000</f>
        <v>1.15608</v>
      </c>
    </row>
    <row r="497" spans="1:12">
      <c r="A497" s="203"/>
      <c r="B497" s="201"/>
      <c r="C497" s="394"/>
      <c r="D497" s="350" t="s">
        <v>20</v>
      </c>
      <c r="E497" s="351"/>
      <c r="F497" s="351"/>
      <c r="G497" s="352">
        <f>3*I499/150</f>
        <v>3</v>
      </c>
      <c r="H497" s="353"/>
      <c r="I497" s="352">
        <f>3*I499/150</f>
        <v>3</v>
      </c>
      <c r="J497" s="353"/>
      <c r="K497">
        <v>550</v>
      </c>
      <c r="L497">
        <f t="shared" si="57"/>
        <v>1.65</v>
      </c>
    </row>
    <row r="498" spans="1:12">
      <c r="A498" s="203"/>
      <c r="B498" s="201"/>
      <c r="C498" s="394"/>
      <c r="D498" s="348" t="s">
        <v>94</v>
      </c>
      <c r="E498" s="348"/>
      <c r="F498" s="348"/>
      <c r="G498" s="349">
        <f>0.3*I499/150</f>
        <v>0.3</v>
      </c>
      <c r="H498" s="349"/>
      <c r="I498" s="349">
        <f>0.3*I499/150</f>
        <v>0.3</v>
      </c>
      <c r="J498" s="349"/>
      <c r="K498">
        <v>17</v>
      </c>
      <c r="L498">
        <f t="shared" si="57"/>
        <v>5.0999999999999995E-3</v>
      </c>
    </row>
    <row r="499" spans="1:12">
      <c r="A499" s="203"/>
      <c r="B499" s="201"/>
      <c r="C499" s="394"/>
      <c r="D499" s="354" t="s">
        <v>74</v>
      </c>
      <c r="E499" s="354"/>
      <c r="F499" s="354"/>
      <c r="G499" s="355" t="s">
        <v>30</v>
      </c>
      <c r="H499" s="355"/>
      <c r="I499" s="356">
        <v>150</v>
      </c>
      <c r="J499" s="356"/>
    </row>
    <row r="500" spans="1:12">
      <c r="A500" s="203"/>
      <c r="B500" s="201"/>
      <c r="C500" s="394"/>
      <c r="D500" s="203"/>
      <c r="E500" s="203"/>
      <c r="F500" s="203"/>
      <c r="G500" s="203"/>
      <c r="H500" s="203"/>
      <c r="I500" s="203"/>
      <c r="J500" s="203"/>
    </row>
    <row r="501" spans="1:12">
      <c r="A501" s="203"/>
      <c r="B501" s="201" t="s">
        <v>380</v>
      </c>
      <c r="C501" s="394">
        <v>200</v>
      </c>
      <c r="D501" s="203"/>
      <c r="E501" s="203"/>
      <c r="F501" s="203"/>
      <c r="G501" s="203"/>
      <c r="H501" s="203"/>
      <c r="I501" s="203"/>
      <c r="J501" s="203"/>
      <c r="L501" s="269">
        <f>SUM(L502:L503)</f>
        <v>1.125</v>
      </c>
    </row>
    <row r="502" spans="1:12">
      <c r="A502" s="203"/>
      <c r="B502" s="201"/>
      <c r="C502" s="394"/>
      <c r="D502" s="348" t="s">
        <v>157</v>
      </c>
      <c r="E502" s="348"/>
      <c r="F502" s="348"/>
      <c r="G502" s="349">
        <v>0.6</v>
      </c>
      <c r="H502" s="349"/>
      <c r="I502" s="349">
        <v>0.6</v>
      </c>
      <c r="J502" s="349"/>
      <c r="K502">
        <v>500</v>
      </c>
      <c r="L502">
        <f t="shared" ref="L502:L503" si="58">G502*K502/1000</f>
        <v>0.3</v>
      </c>
    </row>
    <row r="503" spans="1:12">
      <c r="A503" s="203"/>
      <c r="B503" s="201"/>
      <c r="C503" s="394"/>
      <c r="D503" s="350" t="s">
        <v>103</v>
      </c>
      <c r="E503" s="351"/>
      <c r="F503" s="351"/>
      <c r="G503" s="352">
        <v>15</v>
      </c>
      <c r="H503" s="353"/>
      <c r="I503" s="352">
        <v>15</v>
      </c>
      <c r="J503" s="353"/>
      <c r="K503">
        <v>55</v>
      </c>
      <c r="L503">
        <f t="shared" si="58"/>
        <v>0.82499999999999996</v>
      </c>
    </row>
    <row r="504" spans="1:12">
      <c r="A504" s="203"/>
      <c r="B504" s="201"/>
      <c r="C504" s="394"/>
      <c r="D504" s="354" t="s">
        <v>74</v>
      </c>
      <c r="E504" s="354"/>
      <c r="F504" s="354"/>
      <c r="G504" s="355" t="s">
        <v>30</v>
      </c>
      <c r="H504" s="355"/>
      <c r="I504" s="356">
        <v>200</v>
      </c>
      <c r="J504" s="356"/>
    </row>
    <row r="505" spans="1:12">
      <c r="A505" s="203"/>
      <c r="B505" s="201"/>
      <c r="C505" s="394"/>
      <c r="D505" s="203"/>
      <c r="E505" s="203"/>
      <c r="F505" s="203"/>
      <c r="G505" s="203"/>
      <c r="H505" s="203"/>
      <c r="I505" s="203"/>
      <c r="J505" s="203"/>
    </row>
    <row r="506" spans="1:12">
      <c r="A506" s="203"/>
      <c r="B506" s="201" t="s">
        <v>263</v>
      </c>
      <c r="C506" s="394">
        <v>40</v>
      </c>
      <c r="D506" s="348" t="s">
        <v>263</v>
      </c>
      <c r="E506" s="348"/>
      <c r="F506" s="348"/>
      <c r="G506" s="349">
        <v>40</v>
      </c>
      <c r="H506" s="349"/>
      <c r="I506" s="349">
        <v>40</v>
      </c>
      <c r="J506" s="349"/>
      <c r="K506">
        <v>29.72</v>
      </c>
      <c r="L506" s="254">
        <f>K506/1000*G506</f>
        <v>1.1888000000000001</v>
      </c>
    </row>
    <row r="507" spans="1:12">
      <c r="A507" s="203"/>
      <c r="B507" s="201"/>
      <c r="C507" s="394"/>
      <c r="D507" s="203"/>
      <c r="E507" s="203"/>
      <c r="F507" s="203"/>
      <c r="G507" s="203"/>
      <c r="H507" s="203"/>
      <c r="I507" s="203"/>
      <c r="J507" s="203"/>
    </row>
    <row r="508" spans="1:12">
      <c r="A508" s="203"/>
      <c r="B508" s="201" t="s">
        <v>4</v>
      </c>
      <c r="C508" s="394">
        <v>30</v>
      </c>
      <c r="D508" s="348" t="s">
        <v>4</v>
      </c>
      <c r="E508" s="348"/>
      <c r="F508" s="348"/>
      <c r="G508" s="349">
        <v>30</v>
      </c>
      <c r="H508" s="349"/>
      <c r="I508" s="349">
        <v>30</v>
      </c>
      <c r="J508" s="349"/>
      <c r="K508">
        <v>45.54</v>
      </c>
      <c r="L508" s="254">
        <f>K508/1000*G508</f>
        <v>1.3661999999999999</v>
      </c>
    </row>
  </sheetData>
  <mergeCells count="271">
    <mergeCell ref="D145:F145"/>
    <mergeCell ref="G145:H145"/>
    <mergeCell ref="I145:J145"/>
    <mergeCell ref="D149:F149"/>
    <mergeCell ref="G149:J149"/>
    <mergeCell ref="G150:H150"/>
    <mergeCell ref="I150:J150"/>
    <mergeCell ref="G151:H151"/>
    <mergeCell ref="I151:J151"/>
    <mergeCell ref="D146:F146"/>
    <mergeCell ref="G146:H146"/>
    <mergeCell ref="I146:J146"/>
    <mergeCell ref="D147:F147"/>
    <mergeCell ref="G147:H147"/>
    <mergeCell ref="I147:J147"/>
    <mergeCell ref="D148:F148"/>
    <mergeCell ref="G148:H148"/>
    <mergeCell ref="I148:J148"/>
    <mergeCell ref="G139:J139"/>
    <mergeCell ref="G141:H141"/>
    <mergeCell ref="I141:J141"/>
    <mergeCell ref="D142:F142"/>
    <mergeCell ref="G142:H142"/>
    <mergeCell ref="D143:F143"/>
    <mergeCell ref="G143:H143"/>
    <mergeCell ref="I143:J143"/>
    <mergeCell ref="D144:F144"/>
    <mergeCell ref="G144:H144"/>
    <mergeCell ref="I144:J144"/>
    <mergeCell ref="A1:E1"/>
    <mergeCell ref="B2:B4"/>
    <mergeCell ref="C2:C4"/>
    <mergeCell ref="D94:F94"/>
    <mergeCell ref="D95:F95"/>
    <mergeCell ref="D67:F67"/>
    <mergeCell ref="D68:F68"/>
    <mergeCell ref="D69:F69"/>
    <mergeCell ref="E47:F47"/>
    <mergeCell ref="D96:F96"/>
    <mergeCell ref="D97:F97"/>
    <mergeCell ref="D74:F74"/>
    <mergeCell ref="D75:F75"/>
    <mergeCell ref="D76:F76"/>
    <mergeCell ref="D77:F77"/>
    <mergeCell ref="D78:F78"/>
    <mergeCell ref="D79:F79"/>
    <mergeCell ref="D80:F80"/>
    <mergeCell ref="D81:F81"/>
    <mergeCell ref="D82:F82"/>
    <mergeCell ref="D83:F83"/>
    <mergeCell ref="D84:F84"/>
    <mergeCell ref="D92:F92"/>
    <mergeCell ref="D93:F93"/>
    <mergeCell ref="E19:F19"/>
    <mergeCell ref="I19:J19"/>
    <mergeCell ref="G6:H6"/>
    <mergeCell ref="I6:J6"/>
    <mergeCell ref="G7:H7"/>
    <mergeCell ref="I7:J7"/>
    <mergeCell ref="G8:H8"/>
    <mergeCell ref="I8:J8"/>
    <mergeCell ref="G9:H9"/>
    <mergeCell ref="I9:J9"/>
    <mergeCell ref="G42:H42"/>
    <mergeCell ref="I42:J42"/>
    <mergeCell ref="G40:J40"/>
    <mergeCell ref="G23:H23"/>
    <mergeCell ref="I23:J23"/>
    <mergeCell ref="G10:H10"/>
    <mergeCell ref="I10:J10"/>
    <mergeCell ref="G11:H11"/>
    <mergeCell ref="G19:H19"/>
    <mergeCell ref="I18:J18"/>
    <mergeCell ref="I56:J56"/>
    <mergeCell ref="E57:F57"/>
    <mergeCell ref="E58:F58"/>
    <mergeCell ref="G43:H43"/>
    <mergeCell ref="I43:J43"/>
    <mergeCell ref="G44:H44"/>
    <mergeCell ref="I44:J44"/>
    <mergeCell ref="G45:H45"/>
    <mergeCell ref="I45:J45"/>
    <mergeCell ref="G46:H46"/>
    <mergeCell ref="I46:J46"/>
    <mergeCell ref="E43:F43"/>
    <mergeCell ref="E44:F44"/>
    <mergeCell ref="E45:F45"/>
    <mergeCell ref="E46:F46"/>
    <mergeCell ref="E64:F64"/>
    <mergeCell ref="G64:H64"/>
    <mergeCell ref="I64:J64"/>
    <mergeCell ref="E66:F66"/>
    <mergeCell ref="G66:H66"/>
    <mergeCell ref="I66:J66"/>
    <mergeCell ref="G48:H48"/>
    <mergeCell ref="I48:J48"/>
    <mergeCell ref="G49:H49"/>
    <mergeCell ref="I49:J49"/>
    <mergeCell ref="G57:H57"/>
    <mergeCell ref="I57:J57"/>
    <mergeCell ref="G58:H58"/>
    <mergeCell ref="I58:J58"/>
    <mergeCell ref="E52:F52"/>
    <mergeCell ref="G52:H52"/>
    <mergeCell ref="I52:J52"/>
    <mergeCell ref="G54:H54"/>
    <mergeCell ref="I54:J54"/>
    <mergeCell ref="E55:F55"/>
    <mergeCell ref="G55:H55"/>
    <mergeCell ref="I55:J55"/>
    <mergeCell ref="E56:F56"/>
    <mergeCell ref="G56:H56"/>
    <mergeCell ref="G59:H59"/>
    <mergeCell ref="I59:J59"/>
    <mergeCell ref="G61:H61"/>
    <mergeCell ref="I61:J61"/>
    <mergeCell ref="G63:H63"/>
    <mergeCell ref="I63:J63"/>
    <mergeCell ref="E59:F59"/>
    <mergeCell ref="E61:F61"/>
    <mergeCell ref="E63:F63"/>
    <mergeCell ref="G69:H69"/>
    <mergeCell ref="I69:J69"/>
    <mergeCell ref="D85:F85"/>
    <mergeCell ref="D86:F86"/>
    <mergeCell ref="D87:F87"/>
    <mergeCell ref="G89:H89"/>
    <mergeCell ref="I89:J89"/>
    <mergeCell ref="D90:F90"/>
    <mergeCell ref="D91:F91"/>
    <mergeCell ref="G99:H99"/>
    <mergeCell ref="I99:J99"/>
    <mergeCell ref="D100:F100"/>
    <mergeCell ref="G100:H100"/>
    <mergeCell ref="I100:J100"/>
    <mergeCell ref="D101:F101"/>
    <mergeCell ref="G101:H101"/>
    <mergeCell ref="I101:J101"/>
    <mergeCell ref="D102:F102"/>
    <mergeCell ref="G102:H102"/>
    <mergeCell ref="I102:J102"/>
    <mergeCell ref="G103:H103"/>
    <mergeCell ref="I103:J103"/>
    <mergeCell ref="D104:F104"/>
    <mergeCell ref="G104:H104"/>
    <mergeCell ref="I104:J104"/>
    <mergeCell ref="G106:H106"/>
    <mergeCell ref="I106:J106"/>
    <mergeCell ref="D107:F107"/>
    <mergeCell ref="G107:H107"/>
    <mergeCell ref="I107:J107"/>
    <mergeCell ref="D103:F103"/>
    <mergeCell ref="G108:H108"/>
    <mergeCell ref="I108:J108"/>
    <mergeCell ref="D109:F109"/>
    <mergeCell ref="G109:H109"/>
    <mergeCell ref="I109:J109"/>
    <mergeCell ref="D110:F110"/>
    <mergeCell ref="G110:H110"/>
    <mergeCell ref="I110:J110"/>
    <mergeCell ref="D112:F112"/>
    <mergeCell ref="G112:H112"/>
    <mergeCell ref="I112:J112"/>
    <mergeCell ref="D108:F108"/>
    <mergeCell ref="G114:H114"/>
    <mergeCell ref="I114:J114"/>
    <mergeCell ref="G117:H117"/>
    <mergeCell ref="I117:J117"/>
    <mergeCell ref="D118:F118"/>
    <mergeCell ref="G118:H118"/>
    <mergeCell ref="I118:J118"/>
    <mergeCell ref="D119:F119"/>
    <mergeCell ref="G119:H119"/>
    <mergeCell ref="I119:J119"/>
    <mergeCell ref="D114:F114"/>
    <mergeCell ref="G120:H120"/>
    <mergeCell ref="I120:J120"/>
    <mergeCell ref="D121:F121"/>
    <mergeCell ref="G121:H121"/>
    <mergeCell ref="I121:J121"/>
    <mergeCell ref="D122:F122"/>
    <mergeCell ref="G122:H122"/>
    <mergeCell ref="D120:F120"/>
    <mergeCell ref="I122:J122"/>
    <mergeCell ref="G130:H130"/>
    <mergeCell ref="G134:H134"/>
    <mergeCell ref="I134:J134"/>
    <mergeCell ref="G153:H153"/>
    <mergeCell ref="I153:J153"/>
    <mergeCell ref="G132:H132"/>
    <mergeCell ref="I132:J132"/>
    <mergeCell ref="D133:F133"/>
    <mergeCell ref="G133:H133"/>
    <mergeCell ref="I133:J133"/>
    <mergeCell ref="D134:F134"/>
    <mergeCell ref="D135:F135"/>
    <mergeCell ref="G135:H135"/>
    <mergeCell ref="I135:J135"/>
    <mergeCell ref="D136:F136"/>
    <mergeCell ref="G136:H136"/>
    <mergeCell ref="I136:J136"/>
    <mergeCell ref="D137:F137"/>
    <mergeCell ref="G137:H137"/>
    <mergeCell ref="I137:J137"/>
    <mergeCell ref="D138:F138"/>
    <mergeCell ref="G138:H138"/>
    <mergeCell ref="I138:J138"/>
    <mergeCell ref="D139:F139"/>
    <mergeCell ref="D157:F157"/>
    <mergeCell ref="G157:H157"/>
    <mergeCell ref="I157:J157"/>
    <mergeCell ref="D154:F154"/>
    <mergeCell ref="G159:H159"/>
    <mergeCell ref="I159:J159"/>
    <mergeCell ref="D160:F160"/>
    <mergeCell ref="G160:H160"/>
    <mergeCell ref="I160:J160"/>
    <mergeCell ref="G154:H154"/>
    <mergeCell ref="I154:J154"/>
    <mergeCell ref="D155:F155"/>
    <mergeCell ref="G155:H155"/>
    <mergeCell ref="I155:J155"/>
    <mergeCell ref="D156:F156"/>
    <mergeCell ref="G156:H156"/>
    <mergeCell ref="I156:J156"/>
    <mergeCell ref="D161:F161"/>
    <mergeCell ref="G161:H161"/>
    <mergeCell ref="I161:J161"/>
    <mergeCell ref="G162:H162"/>
    <mergeCell ref="I162:J162"/>
    <mergeCell ref="D163:F163"/>
    <mergeCell ref="G163:H163"/>
    <mergeCell ref="I163:J163"/>
    <mergeCell ref="G165:H165"/>
    <mergeCell ref="I165:J165"/>
    <mergeCell ref="D162:F162"/>
    <mergeCell ref="D165:F165"/>
    <mergeCell ref="G167:H167"/>
    <mergeCell ref="I167:J167"/>
    <mergeCell ref="D167:F167"/>
    <mergeCell ref="E7:F7"/>
    <mergeCell ref="E8:F8"/>
    <mergeCell ref="E9:F9"/>
    <mergeCell ref="E10:F10"/>
    <mergeCell ref="E11:F11"/>
    <mergeCell ref="G12:H12"/>
    <mergeCell ref="I12:J12"/>
    <mergeCell ref="E14:F14"/>
    <mergeCell ref="G14:H14"/>
    <mergeCell ref="I14:J14"/>
    <mergeCell ref="E15:F15"/>
    <mergeCell ref="G15:H15"/>
    <mergeCell ref="I15:J15"/>
    <mergeCell ref="E16:F16"/>
    <mergeCell ref="G16:H16"/>
    <mergeCell ref="I16:J16"/>
    <mergeCell ref="E17:F17"/>
    <mergeCell ref="G17:H17"/>
    <mergeCell ref="I17:J17"/>
    <mergeCell ref="E18:F18"/>
    <mergeCell ref="G18:H18"/>
    <mergeCell ref="G47:H47"/>
    <mergeCell ref="I47:J47"/>
    <mergeCell ref="E48:F48"/>
    <mergeCell ref="E49:F49"/>
    <mergeCell ref="E50:F50"/>
    <mergeCell ref="G50:H50"/>
    <mergeCell ref="I50:J50"/>
    <mergeCell ref="E51:F51"/>
    <mergeCell ref="G51:H51"/>
    <mergeCell ref="I51:J51"/>
  </mergeCells>
  <pageMargins left="0.23622047244094491" right="0.23622047244094491" top="0.74803149606299213" bottom="0.74803149606299213" header="0.31496062992125984" footer="0.31496062992125984"/>
  <pageSetup paperSize="9" scale="70" fitToHeight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1:O34"/>
  <sheetViews>
    <sheetView zoomScale="80" zoomScaleNormal="80" workbookViewId="0">
      <pane xSplit="3" ySplit="3" topLeftCell="D13" activePane="bottomRight" state="frozen"/>
      <selection pane="topRight" activeCell="D1" sqref="D1"/>
      <selection pane="bottomLeft" activeCell="A4" sqref="A4"/>
      <selection pane="bottomRight" activeCell="E18" sqref="E18"/>
    </sheetView>
  </sheetViews>
  <sheetFormatPr defaultRowHeight="15"/>
  <cols>
    <col min="2" max="2" width="5.7109375" style="57" customWidth="1"/>
    <col min="3" max="3" width="37.140625" customWidth="1"/>
    <col min="4" max="4" width="8" customWidth="1"/>
    <col min="5" max="6" width="9.140625" customWidth="1"/>
    <col min="7" max="7" width="9.85546875" customWidth="1"/>
    <col min="8" max="8" width="9.140625" hidden="1" customWidth="1"/>
    <col min="9" max="9" width="9.140625" customWidth="1"/>
    <col min="10" max="10" width="10.5703125" customWidth="1"/>
    <col min="13" max="13" width="10.7109375" customWidth="1"/>
    <col min="14" max="14" width="0" hidden="1" customWidth="1"/>
  </cols>
  <sheetData>
    <row r="1" spans="2:15">
      <c r="D1" s="546" t="s">
        <v>164</v>
      </c>
      <c r="E1" s="546"/>
      <c r="F1" s="546"/>
      <c r="G1" s="546"/>
      <c r="H1" s="546"/>
      <c r="I1" s="546"/>
      <c r="J1" s="547" t="s">
        <v>165</v>
      </c>
      <c r="K1" s="547"/>
      <c r="L1" s="547"/>
      <c r="M1" s="547"/>
      <c r="N1" s="547"/>
      <c r="O1" s="547"/>
    </row>
    <row r="2" spans="2:15" ht="30.75" customHeight="1">
      <c r="B2" s="554" t="s">
        <v>135</v>
      </c>
      <c r="C2" s="555" t="s">
        <v>136</v>
      </c>
      <c r="D2" s="552" t="s">
        <v>140</v>
      </c>
      <c r="E2" s="552" t="s">
        <v>137</v>
      </c>
      <c r="F2" s="552" t="s">
        <v>168</v>
      </c>
      <c r="G2" s="548" t="s">
        <v>166</v>
      </c>
      <c r="H2" s="552" t="s">
        <v>138</v>
      </c>
      <c r="I2" s="552" t="s">
        <v>139</v>
      </c>
      <c r="J2" s="553" t="s">
        <v>140</v>
      </c>
      <c r="K2" s="553" t="s">
        <v>137</v>
      </c>
      <c r="L2" s="553" t="s">
        <v>167</v>
      </c>
      <c r="M2" s="550" t="s">
        <v>166</v>
      </c>
      <c r="N2" s="553" t="s">
        <v>138</v>
      </c>
      <c r="O2" s="553" t="s">
        <v>139</v>
      </c>
    </row>
    <row r="3" spans="2:15" ht="15.75" customHeight="1">
      <c r="B3" s="554"/>
      <c r="C3" s="555"/>
      <c r="D3" s="552"/>
      <c r="E3" s="552"/>
      <c r="F3" s="552"/>
      <c r="G3" s="549"/>
      <c r="H3" s="552"/>
      <c r="I3" s="552"/>
      <c r="J3" s="553"/>
      <c r="K3" s="553"/>
      <c r="L3" s="553"/>
      <c r="M3" s="551"/>
      <c r="N3" s="553"/>
      <c r="O3" s="553"/>
    </row>
    <row r="4" spans="2:15" ht="15.75">
      <c r="B4" s="58">
        <v>1</v>
      </c>
      <c r="C4" s="56" t="s">
        <v>141</v>
      </c>
      <c r="D4" s="42">
        <v>80</v>
      </c>
      <c r="E4">
        <v>400</v>
      </c>
      <c r="F4" s="42">
        <f>E4/10</f>
        <v>40</v>
      </c>
      <c r="G4" s="42">
        <f>D4/100*60</f>
        <v>48</v>
      </c>
      <c r="H4" s="59">
        <f>G4-F4</f>
        <v>8</v>
      </c>
      <c r="I4" s="60">
        <f>F4/G4*100</f>
        <v>83.333333333333343</v>
      </c>
      <c r="J4" s="42">
        <v>120</v>
      </c>
      <c r="K4" s="59">
        <v>400</v>
      </c>
      <c r="L4" s="59">
        <f>K4/10</f>
        <v>40</v>
      </c>
      <c r="M4" s="42">
        <f>J4/100*60</f>
        <v>72</v>
      </c>
      <c r="N4" s="59">
        <f>M4-L4</f>
        <v>32</v>
      </c>
      <c r="O4" s="61">
        <f>L4/M2:M4*100</f>
        <v>55.555555555555557</v>
      </c>
    </row>
    <row r="5" spans="2:15" ht="15.75">
      <c r="B5" s="58">
        <v>2</v>
      </c>
      <c r="C5" s="56" t="s">
        <v>4</v>
      </c>
      <c r="D5" s="42">
        <v>150</v>
      </c>
      <c r="E5" s="42" t="e">
        <f>'расчет обед 1-4'!E29+'расчет обед 1-4'!E197+'расчет обед 1-4'!E38+'расчет обед 1-4'!E89+'расчет обед 1-4'!E133+'расчет обед 1-4'!E170+'расчет обед 1-4'!E213+'расчет обед 1-4'!E249+'расчет обед 1-4'!E303+'расчет обед 1-4'!E342+'расчет обед 1-4'!E395+'расчет обед 1-4'!E442</f>
        <v>#VALUE!</v>
      </c>
      <c r="F5" s="42" t="e">
        <f>E5/10</f>
        <v>#VALUE!</v>
      </c>
      <c r="G5" s="42">
        <f t="shared" ref="G5:G34" si="0">D5/100*60</f>
        <v>90</v>
      </c>
      <c r="H5" s="59" t="e">
        <f t="shared" ref="H5:H34" si="1">G5-F5</f>
        <v>#VALUE!</v>
      </c>
      <c r="I5" s="60" t="e">
        <f t="shared" ref="I5:I34" si="2">F5/G5*100</f>
        <v>#VALUE!</v>
      </c>
      <c r="J5" s="42">
        <v>200</v>
      </c>
      <c r="K5" s="42" t="e">
        <f>'расчет завтрак'!F6+'расчет завтрак'!F42+'расчет завтрак'!F60+'расчет завтрак'!#REF!+'расчет завтрак'!F119+'расчет завтрак'!F143+'расчет завтрак'!#REF!+'расчет завтрак'!#REF!+'расчет завтрак'!F174+'расчет обед 5-11'!#REF!+'расчет обед 5-11'!#REF!+'расчет обед 5-11'!#REF!+'расчет обед 5-11'!#REF!+'расчет обед 5-11'!#REF!+'расчет обед 5-11'!#REF!+'расчет обед 5-11'!#REF!+'расчет обед 5-11'!#REF!+'расчет обед 5-11'!#REF!+'расчет обед 5-11'!#REF!+'расчет обед 5-11'!#REF!</f>
        <v>#REF!</v>
      </c>
      <c r="L5" s="42" t="e">
        <f t="shared" ref="L5:L34" si="3">K5/10</f>
        <v>#REF!</v>
      </c>
      <c r="M5" s="42">
        <f t="shared" ref="M5:M34" si="4">J5/100*60</f>
        <v>120</v>
      </c>
      <c r="N5" s="59" t="e">
        <f t="shared" ref="N5:N34" si="5">M5-L5</f>
        <v>#REF!</v>
      </c>
      <c r="O5" s="61" t="e">
        <f t="shared" ref="O5:O34" si="6">L5/M3:M5*100</f>
        <v>#REF!</v>
      </c>
    </row>
    <row r="6" spans="2:15" ht="15.75">
      <c r="B6" s="58">
        <v>3</v>
      </c>
      <c r="C6" s="56" t="s">
        <v>115</v>
      </c>
      <c r="D6" s="42">
        <v>15</v>
      </c>
      <c r="E6" s="42" t="e">
        <f>'расчет обед 1-4'!E160+'расчет обед 1-4'!E290+'расчет обед 1-4'!E293+'расчет обед 1-4'!E331+'расчет обед 1-4'!#REF!</f>
        <v>#VALUE!</v>
      </c>
      <c r="F6" s="42" t="e">
        <f t="shared" ref="F6:F34" si="7">E6/10</f>
        <v>#VALUE!</v>
      </c>
      <c r="G6" s="42">
        <f t="shared" si="0"/>
        <v>9</v>
      </c>
      <c r="H6" s="59" t="e">
        <f t="shared" si="1"/>
        <v>#VALUE!</v>
      </c>
      <c r="I6" s="60" t="e">
        <f t="shared" si="2"/>
        <v>#VALUE!</v>
      </c>
      <c r="J6" s="42">
        <v>20</v>
      </c>
      <c r="K6" s="42" t="e">
        <f>'расчет обед 5-11'!#REF!+'расчет обед 5-11'!#REF!+'расчет обед 5-11'!#REF!+'расчет обед 5-11'!#REF!+'расчет обед 5-11'!#REF!</f>
        <v>#REF!</v>
      </c>
      <c r="L6" s="42" t="e">
        <f t="shared" si="3"/>
        <v>#REF!</v>
      </c>
      <c r="M6" s="42">
        <f t="shared" si="4"/>
        <v>12</v>
      </c>
      <c r="N6" s="59" t="e">
        <f t="shared" si="5"/>
        <v>#REF!</v>
      </c>
      <c r="O6" s="61" t="e">
        <f t="shared" si="6"/>
        <v>#REF!</v>
      </c>
    </row>
    <row r="7" spans="2:15" ht="15.75">
      <c r="B7" s="58">
        <v>4</v>
      </c>
      <c r="C7" s="56" t="s">
        <v>142</v>
      </c>
      <c r="D7" s="42">
        <v>45</v>
      </c>
      <c r="E7" s="42"/>
      <c r="F7" s="42">
        <f t="shared" si="7"/>
        <v>0</v>
      </c>
      <c r="G7" s="42">
        <f t="shared" si="0"/>
        <v>27</v>
      </c>
      <c r="H7" s="59">
        <f t="shared" si="1"/>
        <v>27</v>
      </c>
      <c r="I7" s="60">
        <f t="shared" si="2"/>
        <v>0</v>
      </c>
      <c r="J7" s="42">
        <v>50</v>
      </c>
      <c r="K7" s="42"/>
      <c r="L7" s="42">
        <f t="shared" si="3"/>
        <v>0</v>
      </c>
      <c r="M7" s="42">
        <f t="shared" si="4"/>
        <v>30</v>
      </c>
      <c r="N7" s="59">
        <f t="shared" si="5"/>
        <v>30</v>
      </c>
      <c r="O7" s="61">
        <f t="shared" si="6"/>
        <v>0</v>
      </c>
    </row>
    <row r="8" spans="2:15" ht="15.75">
      <c r="B8" s="58">
        <v>5</v>
      </c>
      <c r="C8" s="56" t="s">
        <v>105</v>
      </c>
      <c r="D8" s="42">
        <v>15</v>
      </c>
      <c r="E8" s="42" t="e">
        <f>'расчет обед 1-4'!#REF!+'расчет обед 1-4'!E143+'расчет обед 1-4'!E232+'расчет завтрак'!F37+'расчет завтрак'!#REF!</f>
        <v>#REF!</v>
      </c>
      <c r="F8" s="42" t="e">
        <f t="shared" si="7"/>
        <v>#REF!</v>
      </c>
      <c r="G8" s="42">
        <f t="shared" si="0"/>
        <v>9</v>
      </c>
      <c r="H8" s="59" t="e">
        <f t="shared" si="1"/>
        <v>#REF!</v>
      </c>
      <c r="I8" s="60" t="e">
        <f t="shared" si="2"/>
        <v>#REF!</v>
      </c>
      <c r="J8" s="42">
        <v>20</v>
      </c>
      <c r="K8" s="42" t="e">
        <f>'расчет завтрак'!F37+'расчет завтрак'!#REF!+'расчет обед 5-11'!#REF!+'расчет обед 5-11'!#REF!+'расчет обед 5-11'!#REF!</f>
        <v>#REF!</v>
      </c>
      <c r="L8" s="42" t="e">
        <f t="shared" si="3"/>
        <v>#REF!</v>
      </c>
      <c r="M8" s="42">
        <f t="shared" si="4"/>
        <v>12</v>
      </c>
      <c r="N8" s="59" t="e">
        <f t="shared" si="5"/>
        <v>#REF!</v>
      </c>
      <c r="O8" s="61" t="e">
        <f t="shared" si="6"/>
        <v>#REF!</v>
      </c>
    </row>
    <row r="9" spans="2:15" ht="15.75">
      <c r="B9" s="58">
        <v>6</v>
      </c>
      <c r="C9" s="56" t="s">
        <v>84</v>
      </c>
      <c r="D9" s="42">
        <v>187</v>
      </c>
      <c r="E9" s="42" t="e">
        <f>'расчет обед 1-4'!E12+'расчет обед 1-4'!E58+'расчет обед 1-4'!E70+'расчет обед 1-4'!#REF!+'расчет обед 1-4'!E151+'расчет обед 1-4'!E178+'расчет обед 1-4'!E221+'расчет обед 1-4'!E269+'расчет обед 1-4'!E279+'расчет обед 1-4'!E314+'расчет обед 1-4'!E356+'расчет обед 1-4'!#REF!+'расчет обед 1-4'!E411</f>
        <v>#VALUE!</v>
      </c>
      <c r="F9" s="42" t="e">
        <f t="shared" si="7"/>
        <v>#VALUE!</v>
      </c>
      <c r="G9" s="42">
        <f t="shared" si="0"/>
        <v>112.2</v>
      </c>
      <c r="H9" s="59" t="e">
        <f t="shared" si="1"/>
        <v>#VALUE!</v>
      </c>
      <c r="I9" s="60" t="e">
        <f t="shared" si="2"/>
        <v>#VALUE!</v>
      </c>
      <c r="J9" s="42">
        <v>187</v>
      </c>
      <c r="K9" s="42" t="e">
        <f>'расчет обед 5-11'!#REF!+'расчет обед 5-11'!#REF!+'расчет обед 5-11'!#REF!+'расчет обед 5-11'!#REF!+'расчет обед 5-11'!#REF!+'расчет обед 5-11'!#REF!+'расчет обед 5-11'!#REF!+'расчет обед 5-11'!#REF!+'расчет обед 5-11'!#REF!+'расчет обед 5-11'!#REF!+'расчет обед 5-11'!#REF!+'расчет обед 5-11'!#REF!+'расчет обед 5-11'!#REF!</f>
        <v>#REF!</v>
      </c>
      <c r="L9" s="42" t="e">
        <f t="shared" si="3"/>
        <v>#REF!</v>
      </c>
      <c r="M9" s="42">
        <f t="shared" si="4"/>
        <v>112.2</v>
      </c>
      <c r="N9" s="59" t="e">
        <f t="shared" si="5"/>
        <v>#REF!</v>
      </c>
      <c r="O9" s="61" t="e">
        <f t="shared" si="6"/>
        <v>#REF!</v>
      </c>
    </row>
    <row r="10" spans="2:15" ht="19.5" customHeight="1">
      <c r="B10" s="58">
        <v>7</v>
      </c>
      <c r="C10" s="56" t="s">
        <v>143</v>
      </c>
      <c r="D10" s="42">
        <v>280</v>
      </c>
      <c r="E10" s="42"/>
      <c r="F10" s="42">
        <f t="shared" si="7"/>
        <v>0</v>
      </c>
      <c r="G10" s="42">
        <f t="shared" si="0"/>
        <v>168</v>
      </c>
      <c r="H10" s="59">
        <f t="shared" si="1"/>
        <v>168</v>
      </c>
      <c r="I10" s="60">
        <f t="shared" si="2"/>
        <v>0</v>
      </c>
      <c r="J10" s="42">
        <v>320</v>
      </c>
      <c r="K10" s="42"/>
      <c r="L10" s="42">
        <f t="shared" si="3"/>
        <v>0</v>
      </c>
      <c r="M10" s="42">
        <f t="shared" si="4"/>
        <v>192</v>
      </c>
      <c r="N10" s="59">
        <f t="shared" si="5"/>
        <v>192</v>
      </c>
      <c r="O10" s="61">
        <f t="shared" si="6"/>
        <v>0</v>
      </c>
    </row>
    <row r="11" spans="2:15" ht="15.75">
      <c r="B11" s="58">
        <v>8</v>
      </c>
      <c r="C11" s="56" t="s">
        <v>144</v>
      </c>
      <c r="D11" s="42">
        <v>185</v>
      </c>
      <c r="E11" s="42">
        <v>1000</v>
      </c>
      <c r="F11" s="42">
        <f t="shared" si="7"/>
        <v>100</v>
      </c>
      <c r="G11" s="42">
        <f t="shared" si="0"/>
        <v>111</v>
      </c>
      <c r="H11" s="59">
        <f t="shared" si="1"/>
        <v>11</v>
      </c>
      <c r="I11" s="60">
        <f t="shared" si="2"/>
        <v>90.090090090090087</v>
      </c>
      <c r="J11" s="42">
        <v>185</v>
      </c>
      <c r="K11" s="42">
        <v>1000</v>
      </c>
      <c r="L11" s="42">
        <f t="shared" si="3"/>
        <v>100</v>
      </c>
      <c r="M11" s="42">
        <f t="shared" si="4"/>
        <v>111</v>
      </c>
      <c r="N11" s="59">
        <f t="shared" si="5"/>
        <v>11</v>
      </c>
      <c r="O11" s="61">
        <f t="shared" si="6"/>
        <v>90.090090090090087</v>
      </c>
    </row>
    <row r="12" spans="2:15" ht="15.75">
      <c r="B12" s="58">
        <v>9</v>
      </c>
      <c r="C12" s="56" t="s">
        <v>145</v>
      </c>
      <c r="D12" s="42">
        <v>15</v>
      </c>
      <c r="E12" s="42"/>
      <c r="F12" s="42">
        <f t="shared" si="7"/>
        <v>0</v>
      </c>
      <c r="G12" s="42">
        <f t="shared" si="0"/>
        <v>9</v>
      </c>
      <c r="H12" s="59">
        <f t="shared" si="1"/>
        <v>9</v>
      </c>
      <c r="I12" s="60">
        <f t="shared" si="2"/>
        <v>0</v>
      </c>
      <c r="J12" s="42">
        <v>20</v>
      </c>
      <c r="K12" s="42"/>
      <c r="L12" s="42">
        <f t="shared" si="3"/>
        <v>0</v>
      </c>
      <c r="M12" s="42">
        <f t="shared" si="4"/>
        <v>12</v>
      </c>
      <c r="N12" s="59">
        <f t="shared" si="5"/>
        <v>12</v>
      </c>
      <c r="O12" s="61">
        <f t="shared" si="6"/>
        <v>0</v>
      </c>
    </row>
    <row r="13" spans="2:15" ht="15.75">
      <c r="B13" s="58">
        <v>10</v>
      </c>
      <c r="C13" s="56" t="s">
        <v>146</v>
      </c>
      <c r="D13" s="42">
        <v>200</v>
      </c>
      <c r="E13" s="42"/>
      <c r="F13" s="42">
        <f t="shared" si="7"/>
        <v>0</v>
      </c>
      <c r="G13" s="42">
        <f t="shared" si="0"/>
        <v>120</v>
      </c>
      <c r="H13" s="59">
        <f t="shared" si="1"/>
        <v>120</v>
      </c>
      <c r="I13" s="60">
        <f t="shared" si="2"/>
        <v>0</v>
      </c>
      <c r="J13" s="42">
        <v>200</v>
      </c>
      <c r="K13" s="42"/>
      <c r="L13" s="42">
        <f t="shared" si="3"/>
        <v>0</v>
      </c>
      <c r="M13" s="42">
        <f t="shared" si="4"/>
        <v>120</v>
      </c>
      <c r="N13" s="59">
        <f t="shared" si="5"/>
        <v>120</v>
      </c>
      <c r="O13" s="61">
        <f t="shared" si="6"/>
        <v>0</v>
      </c>
    </row>
    <row r="14" spans="2:15" ht="15.75">
      <c r="B14" s="58">
        <v>11</v>
      </c>
      <c r="C14" s="56" t="s">
        <v>147</v>
      </c>
      <c r="D14" s="42">
        <v>70</v>
      </c>
      <c r="E14" s="42"/>
      <c r="F14" s="42">
        <f t="shared" si="7"/>
        <v>0</v>
      </c>
      <c r="G14" s="42">
        <f t="shared" si="0"/>
        <v>42</v>
      </c>
      <c r="H14" s="59">
        <f t="shared" si="1"/>
        <v>42</v>
      </c>
      <c r="I14" s="60">
        <f t="shared" si="2"/>
        <v>0</v>
      </c>
      <c r="J14" s="42">
        <v>78</v>
      </c>
      <c r="K14" s="42"/>
      <c r="L14" s="42">
        <f t="shared" si="3"/>
        <v>0</v>
      </c>
      <c r="M14" s="42">
        <f t="shared" si="4"/>
        <v>46.800000000000004</v>
      </c>
      <c r="N14" s="59">
        <f t="shared" si="5"/>
        <v>46.800000000000004</v>
      </c>
      <c r="O14" s="61">
        <f t="shared" si="6"/>
        <v>0</v>
      </c>
    </row>
    <row r="15" spans="2:15" ht="15.75">
      <c r="B15" s="58">
        <v>12</v>
      </c>
      <c r="C15" s="56" t="s">
        <v>148</v>
      </c>
      <c r="D15" s="42">
        <v>30</v>
      </c>
      <c r="E15" s="42"/>
      <c r="F15" s="42">
        <f t="shared" si="7"/>
        <v>0</v>
      </c>
      <c r="G15" s="42">
        <f t="shared" si="0"/>
        <v>18</v>
      </c>
      <c r="H15" s="59">
        <f t="shared" si="1"/>
        <v>18</v>
      </c>
      <c r="I15" s="60">
        <f t="shared" si="2"/>
        <v>0</v>
      </c>
      <c r="J15" s="42">
        <v>40</v>
      </c>
      <c r="K15" s="42"/>
      <c r="L15" s="42">
        <f t="shared" si="3"/>
        <v>0</v>
      </c>
      <c r="M15" s="42">
        <f t="shared" si="4"/>
        <v>24</v>
      </c>
      <c r="N15" s="59">
        <f t="shared" si="5"/>
        <v>24</v>
      </c>
      <c r="O15" s="61">
        <f t="shared" si="6"/>
        <v>0</v>
      </c>
    </row>
    <row r="16" spans="2:15" ht="21.75" customHeight="1">
      <c r="B16" s="58">
        <v>13</v>
      </c>
      <c r="C16" s="56" t="s">
        <v>149</v>
      </c>
      <c r="D16" s="42">
        <v>35</v>
      </c>
      <c r="E16" s="42"/>
      <c r="F16" s="42">
        <f t="shared" si="7"/>
        <v>0</v>
      </c>
      <c r="G16" s="42">
        <f t="shared" si="0"/>
        <v>21</v>
      </c>
      <c r="H16" s="59">
        <f t="shared" si="1"/>
        <v>21</v>
      </c>
      <c r="I16" s="60">
        <f t="shared" si="2"/>
        <v>0</v>
      </c>
      <c r="J16" s="42">
        <v>53</v>
      </c>
      <c r="K16" s="42"/>
      <c r="L16" s="42">
        <f t="shared" si="3"/>
        <v>0</v>
      </c>
      <c r="M16" s="42">
        <f t="shared" si="4"/>
        <v>31.8</v>
      </c>
      <c r="N16" s="59">
        <f t="shared" si="5"/>
        <v>31.8</v>
      </c>
      <c r="O16" s="61">
        <f t="shared" si="6"/>
        <v>0</v>
      </c>
    </row>
    <row r="17" spans="2:15" ht="17.25" customHeight="1">
      <c r="B17" s="58">
        <v>14</v>
      </c>
      <c r="C17" s="56" t="s">
        <v>150</v>
      </c>
      <c r="D17" s="42">
        <v>58</v>
      </c>
      <c r="E17" s="42"/>
      <c r="F17" s="42">
        <f t="shared" si="7"/>
        <v>0</v>
      </c>
      <c r="G17" s="42">
        <f t="shared" si="0"/>
        <v>34.799999999999997</v>
      </c>
      <c r="H17" s="59">
        <f t="shared" si="1"/>
        <v>34.799999999999997</v>
      </c>
      <c r="I17" s="60">
        <f t="shared" si="2"/>
        <v>0</v>
      </c>
      <c r="J17" s="42">
        <v>77</v>
      </c>
      <c r="K17" s="42"/>
      <c r="L17" s="42">
        <f t="shared" si="3"/>
        <v>0</v>
      </c>
      <c r="M17" s="42">
        <f t="shared" si="4"/>
        <v>46.2</v>
      </c>
      <c r="N17" s="59">
        <f t="shared" si="5"/>
        <v>46.2</v>
      </c>
      <c r="O17" s="61">
        <f t="shared" si="6"/>
        <v>0</v>
      </c>
    </row>
    <row r="18" spans="2:15" ht="20.25" customHeight="1">
      <c r="B18" s="58">
        <v>15</v>
      </c>
      <c r="C18" s="56" t="s">
        <v>26</v>
      </c>
      <c r="D18" s="42">
        <v>300</v>
      </c>
      <c r="E18" s="42" t="e">
        <f>'расчет завтрак'!F12+'расчет завтрак'!D33+'расчет завтрак'!D51+'расчет завтрак'!F55+'расчет завтрак'!D69+'расчет завтрак'!D94+'расчет завтрак'!F98+'расчет завтрак'!D108+'расчет завтрак'!F113+'расчет завтрак'!D128+'расчет завтрак'!F132+'расчет завтрак'!D149+'расчет завтрак'!F153+'расчет завтрак'!#REF!+'расчет завтрак'!D158+'расчет завтрак'!D183+'расчет обед 1-4'!E30+'расчет обед 1-4'!E152+'расчет обед 1-4'!E198+'расчет обед 1-4'!E280</f>
        <v>#VALUE!</v>
      </c>
      <c r="F18" s="42" t="e">
        <f t="shared" si="7"/>
        <v>#VALUE!</v>
      </c>
      <c r="G18" s="42">
        <f t="shared" si="0"/>
        <v>180</v>
      </c>
      <c r="H18" s="59" t="e">
        <f t="shared" si="1"/>
        <v>#VALUE!</v>
      </c>
      <c r="I18" s="60" t="e">
        <f t="shared" si="2"/>
        <v>#VALUE!</v>
      </c>
      <c r="J18" s="42">
        <v>350</v>
      </c>
      <c r="K18" s="42" t="e">
        <f>'расчет завтрак'!F12+'расчет завтрак'!F55+'расчет завтрак'!D33+'расчет завтрак'!D51+'расчет завтрак'!D69+'расчет завтрак'!D94+'расчет завтрак'!F98+'расчет завтрак'!D108+'расчет завтрак'!F113+'расчет завтрак'!D128+'расчет завтрак'!F132+'расчет завтрак'!D149+'расчет завтрак'!F153+'расчет завтрак'!#REF!+'расчет завтрак'!D158+'расчет завтрак'!D183+'расчет обед 5-11'!#REF!+'расчет обед 5-11'!#REF!+'расчет обед 5-11'!#REF!+'расчет обед 5-11'!#REF!</f>
        <v>#VALUE!</v>
      </c>
      <c r="L18" s="42" t="e">
        <f t="shared" si="3"/>
        <v>#VALUE!</v>
      </c>
      <c r="M18" s="42">
        <f t="shared" si="4"/>
        <v>210</v>
      </c>
      <c r="N18" s="59" t="e">
        <f t="shared" si="5"/>
        <v>#VALUE!</v>
      </c>
      <c r="O18" s="61" t="e">
        <f t="shared" si="6"/>
        <v>#VALUE!</v>
      </c>
    </row>
    <row r="19" spans="2:15" ht="21" customHeight="1">
      <c r="B19" s="58">
        <v>16</v>
      </c>
      <c r="C19" s="56" t="s">
        <v>151</v>
      </c>
      <c r="D19" s="42">
        <v>150</v>
      </c>
      <c r="E19" s="42"/>
      <c r="F19" s="42">
        <f t="shared" si="7"/>
        <v>0</v>
      </c>
      <c r="G19" s="42">
        <f t="shared" si="0"/>
        <v>90</v>
      </c>
      <c r="H19" s="59">
        <f t="shared" si="1"/>
        <v>90</v>
      </c>
      <c r="I19" s="60">
        <f t="shared" si="2"/>
        <v>0</v>
      </c>
      <c r="J19" s="42">
        <v>180</v>
      </c>
      <c r="K19" s="42"/>
      <c r="L19" s="42">
        <f t="shared" si="3"/>
        <v>0</v>
      </c>
      <c r="M19" s="42">
        <f t="shared" si="4"/>
        <v>108</v>
      </c>
      <c r="N19" s="59">
        <f t="shared" si="5"/>
        <v>108</v>
      </c>
      <c r="O19" s="61">
        <f t="shared" si="6"/>
        <v>0</v>
      </c>
    </row>
    <row r="20" spans="2:15" ht="15.75">
      <c r="B20" s="58">
        <v>17</v>
      </c>
      <c r="C20" s="56" t="s">
        <v>152</v>
      </c>
      <c r="D20" s="42">
        <v>50</v>
      </c>
      <c r="E20" s="42" t="e">
        <f>'расчет завтрак'!F73+'расчет завтрак'!F161</f>
        <v>#VALUE!</v>
      </c>
      <c r="F20" s="42" t="e">
        <f t="shared" si="7"/>
        <v>#VALUE!</v>
      </c>
      <c r="G20" s="42">
        <f t="shared" si="0"/>
        <v>30</v>
      </c>
      <c r="H20" s="59" t="e">
        <f t="shared" si="1"/>
        <v>#VALUE!</v>
      </c>
      <c r="I20" s="60" t="e">
        <f t="shared" si="2"/>
        <v>#VALUE!</v>
      </c>
      <c r="J20" s="42">
        <v>60</v>
      </c>
      <c r="K20" s="42">
        <v>331.76</v>
      </c>
      <c r="L20" s="42">
        <f t="shared" si="3"/>
        <v>33.176000000000002</v>
      </c>
      <c r="M20" s="42">
        <f t="shared" si="4"/>
        <v>36</v>
      </c>
      <c r="N20" s="59">
        <f t="shared" si="5"/>
        <v>2.8239999999999981</v>
      </c>
      <c r="O20" s="61">
        <f t="shared" si="6"/>
        <v>92.155555555555551</v>
      </c>
    </row>
    <row r="21" spans="2:15" ht="15.75">
      <c r="B21" s="58">
        <v>18</v>
      </c>
      <c r="C21" s="56" t="s">
        <v>153</v>
      </c>
      <c r="D21" s="42">
        <v>10</v>
      </c>
      <c r="E21" s="42" t="e">
        <f>'расчет завтрак'!F7+'расчет завтрак'!F39+'расчет завтрак'!F144+'расчет завтрак'!#REF!</f>
        <v>#VALUE!</v>
      </c>
      <c r="F21" s="42" t="e">
        <f t="shared" si="7"/>
        <v>#VALUE!</v>
      </c>
      <c r="G21" s="42">
        <f t="shared" si="0"/>
        <v>6</v>
      </c>
      <c r="H21" s="59" t="e">
        <f t="shared" si="1"/>
        <v>#VALUE!</v>
      </c>
      <c r="I21" s="60" t="e">
        <f t="shared" si="2"/>
        <v>#VALUE!</v>
      </c>
      <c r="J21" s="42">
        <v>15</v>
      </c>
      <c r="K21" s="42">
        <v>72.180000000000007</v>
      </c>
      <c r="L21" s="42">
        <f t="shared" si="3"/>
        <v>7.2180000000000009</v>
      </c>
      <c r="M21" s="42">
        <f t="shared" si="4"/>
        <v>9</v>
      </c>
      <c r="N21" s="59">
        <f t="shared" si="5"/>
        <v>1.7819999999999991</v>
      </c>
      <c r="O21" s="61">
        <f t="shared" si="6"/>
        <v>80.2</v>
      </c>
    </row>
    <row r="22" spans="2:15" ht="15.75">
      <c r="B22" s="58">
        <v>19</v>
      </c>
      <c r="C22" s="56" t="s">
        <v>109</v>
      </c>
      <c r="D22" s="42">
        <v>10</v>
      </c>
      <c r="E22" s="42"/>
      <c r="F22" s="42">
        <f t="shared" si="7"/>
        <v>0</v>
      </c>
      <c r="G22" s="42">
        <f t="shared" si="0"/>
        <v>6</v>
      </c>
      <c r="H22" s="59">
        <f t="shared" si="1"/>
        <v>6</v>
      </c>
      <c r="I22" s="60">
        <f t="shared" si="2"/>
        <v>0</v>
      </c>
      <c r="J22" s="42">
        <v>10</v>
      </c>
      <c r="K22" s="42"/>
      <c r="L22" s="42">
        <f t="shared" si="3"/>
        <v>0</v>
      </c>
      <c r="M22" s="42">
        <f t="shared" si="4"/>
        <v>6</v>
      </c>
      <c r="N22" s="59">
        <f t="shared" si="5"/>
        <v>6</v>
      </c>
      <c r="O22" s="61">
        <f t="shared" si="6"/>
        <v>0</v>
      </c>
    </row>
    <row r="23" spans="2:15" ht="15.75">
      <c r="B23" s="58">
        <v>20</v>
      </c>
      <c r="C23" s="56" t="s">
        <v>20</v>
      </c>
      <c r="D23" s="42">
        <v>30</v>
      </c>
      <c r="E23" s="42"/>
      <c r="F23" s="42">
        <f t="shared" si="7"/>
        <v>0</v>
      </c>
      <c r="G23" s="42">
        <f t="shared" si="0"/>
        <v>18</v>
      </c>
      <c r="H23" s="59">
        <f t="shared" si="1"/>
        <v>18</v>
      </c>
      <c r="I23" s="60">
        <f t="shared" si="2"/>
        <v>0</v>
      </c>
      <c r="J23" s="42">
        <v>35</v>
      </c>
      <c r="K23" s="42"/>
      <c r="L23" s="42">
        <f t="shared" si="3"/>
        <v>0</v>
      </c>
      <c r="M23" s="42">
        <f t="shared" si="4"/>
        <v>21</v>
      </c>
      <c r="N23" s="59">
        <f t="shared" si="5"/>
        <v>21</v>
      </c>
      <c r="O23" s="61">
        <f t="shared" si="6"/>
        <v>0</v>
      </c>
    </row>
    <row r="24" spans="2:15" ht="15.75">
      <c r="B24" s="58">
        <v>21</v>
      </c>
      <c r="C24" s="56" t="s">
        <v>81</v>
      </c>
      <c r="D24" s="42">
        <v>15</v>
      </c>
      <c r="E24" s="42"/>
      <c r="F24" s="42">
        <f t="shared" si="7"/>
        <v>0</v>
      </c>
      <c r="G24" s="42">
        <f t="shared" si="0"/>
        <v>9</v>
      </c>
      <c r="H24" s="59">
        <f t="shared" si="1"/>
        <v>9</v>
      </c>
      <c r="I24" s="60">
        <f t="shared" si="2"/>
        <v>0</v>
      </c>
      <c r="J24" s="42">
        <v>18</v>
      </c>
      <c r="K24" s="42"/>
      <c r="L24" s="42">
        <f t="shared" si="3"/>
        <v>0</v>
      </c>
      <c r="M24" s="42">
        <f t="shared" si="4"/>
        <v>10.799999999999999</v>
      </c>
      <c r="N24" s="59">
        <f t="shared" si="5"/>
        <v>10.799999999999999</v>
      </c>
      <c r="O24" s="61">
        <f t="shared" si="6"/>
        <v>0</v>
      </c>
    </row>
    <row r="25" spans="2:15" ht="15.75">
      <c r="B25" s="58">
        <v>22</v>
      </c>
      <c r="C25" s="56" t="s">
        <v>154</v>
      </c>
      <c r="D25" s="42">
        <v>1</v>
      </c>
      <c r="E25" s="42"/>
      <c r="F25" s="42">
        <f t="shared" si="7"/>
        <v>0</v>
      </c>
      <c r="G25" s="42">
        <f t="shared" si="0"/>
        <v>0.6</v>
      </c>
      <c r="H25" s="59">
        <f t="shared" si="1"/>
        <v>0.6</v>
      </c>
      <c r="I25" s="60">
        <f t="shared" si="2"/>
        <v>0</v>
      </c>
      <c r="J25" s="42">
        <v>1</v>
      </c>
      <c r="K25" s="42"/>
      <c r="L25" s="42">
        <f t="shared" si="3"/>
        <v>0</v>
      </c>
      <c r="M25" s="42">
        <f t="shared" si="4"/>
        <v>0.6</v>
      </c>
      <c r="N25" s="59">
        <f t="shared" si="5"/>
        <v>0.6</v>
      </c>
      <c r="O25" s="61">
        <f t="shared" si="6"/>
        <v>0</v>
      </c>
    </row>
    <row r="26" spans="2:15" ht="18.75" customHeight="1">
      <c r="B26" s="58">
        <v>23</v>
      </c>
      <c r="C26" s="56" t="s">
        <v>155</v>
      </c>
      <c r="D26" s="42">
        <v>30</v>
      </c>
      <c r="E26" s="42" t="e">
        <f>'расчет завтрак'!F13+'расчет завтрак'!F27+'расчет завтрак'!F44+'расчет завтрак'!F62+'расчет завтрак'!F76+'расчет завтрак'!F88+'расчет завтрак'!F99+'расчет завтрак'!#REF!+'расчет завтрак'!F114+'расчет завтрак'!F121+'расчет завтрак'!F134+'расчет завтрак'!F137+'расчет завтрак'!#REF!+'расчет завтрак'!#REF!+'расчет завтрак'!F164+'расчет завтрак'!F176+'расчет обед 1-4'!E84+'расчет обед 1-4'!E127+'расчет обед 1-4'!E166+'расчет обед 1-4'!E208+'расчет обед 1-4'!#REF!+'расчет обед 1-4'!E340+'расчет обед 1-4'!E391+'расчет обед 1-4'!E402+'расчет обед 1-4'!E436</f>
        <v>#REF!</v>
      </c>
      <c r="F26" s="42" t="e">
        <f t="shared" si="7"/>
        <v>#REF!</v>
      </c>
      <c r="G26" s="42">
        <f t="shared" si="0"/>
        <v>18</v>
      </c>
      <c r="H26" s="59" t="e">
        <f t="shared" si="1"/>
        <v>#REF!</v>
      </c>
      <c r="I26" s="60" t="e">
        <f t="shared" si="2"/>
        <v>#REF!</v>
      </c>
      <c r="J26" s="42">
        <v>35</v>
      </c>
      <c r="K26" s="42">
        <v>174.7</v>
      </c>
      <c r="L26" s="42">
        <f t="shared" si="3"/>
        <v>17.47</v>
      </c>
      <c r="M26" s="42">
        <f t="shared" si="4"/>
        <v>21</v>
      </c>
      <c r="N26" s="59">
        <f t="shared" si="5"/>
        <v>3.5300000000000011</v>
      </c>
      <c r="O26" s="61">
        <f t="shared" si="6"/>
        <v>83.190476190476176</v>
      </c>
    </row>
    <row r="27" spans="2:15" ht="15.75">
      <c r="B27" s="58">
        <v>24</v>
      </c>
      <c r="C27" s="56" t="s">
        <v>156</v>
      </c>
      <c r="D27" s="42">
        <v>10</v>
      </c>
      <c r="E27" s="42">
        <v>60</v>
      </c>
      <c r="F27" s="42">
        <f t="shared" si="7"/>
        <v>6</v>
      </c>
      <c r="G27" s="42">
        <f t="shared" si="0"/>
        <v>6</v>
      </c>
      <c r="H27" s="59">
        <f t="shared" si="1"/>
        <v>0</v>
      </c>
      <c r="I27" s="60">
        <f t="shared" si="2"/>
        <v>100</v>
      </c>
      <c r="J27" s="42">
        <v>15</v>
      </c>
      <c r="K27" s="42">
        <v>60</v>
      </c>
      <c r="L27" s="42">
        <f t="shared" si="3"/>
        <v>6</v>
      </c>
      <c r="M27" s="42">
        <f t="shared" si="4"/>
        <v>9</v>
      </c>
      <c r="N27" s="59">
        <f t="shared" si="5"/>
        <v>3</v>
      </c>
      <c r="O27" s="61">
        <f t="shared" si="6"/>
        <v>66.666666666666657</v>
      </c>
    </row>
    <row r="28" spans="2:15" ht="15.75">
      <c r="B28" s="58">
        <v>25</v>
      </c>
      <c r="C28" s="56" t="s">
        <v>157</v>
      </c>
      <c r="D28" s="42">
        <v>1</v>
      </c>
      <c r="E28" s="42" t="e">
        <f>'расчет завтрак'!F29+'расчет завтрак'!F46+'расчет завтрак'!F64+'расчет завтрак'!F90+'расчет завтрак'!#REF!+'расчет завтрак'!F123+'расчет завтрак'!F139+'расчет завтрак'!#REF!+'расчет завтрак'!#REF!+'расчет завтрак'!F178+'расчет обед 1-4'!E129+'расчет обед 1-4'!#REF!+'расчет обед 1-4'!#REF!+'расчет обед 1-4'!E438</f>
        <v>#REF!</v>
      </c>
      <c r="F28" s="42" t="e">
        <f t="shared" si="7"/>
        <v>#REF!</v>
      </c>
      <c r="G28" s="42">
        <f t="shared" si="0"/>
        <v>0.6</v>
      </c>
      <c r="H28" s="59" t="e">
        <f t="shared" si="1"/>
        <v>#REF!</v>
      </c>
      <c r="I28" s="60" t="e">
        <f t="shared" si="2"/>
        <v>#REF!</v>
      </c>
      <c r="J28" s="42">
        <v>2</v>
      </c>
      <c r="K28" s="42">
        <v>14</v>
      </c>
      <c r="L28" s="42">
        <f t="shared" si="3"/>
        <v>1.4</v>
      </c>
      <c r="M28" s="42">
        <f t="shared" si="4"/>
        <v>1.2</v>
      </c>
      <c r="N28" s="59">
        <f t="shared" si="5"/>
        <v>-0.19999999999999996</v>
      </c>
      <c r="O28" s="61">
        <f t="shared" si="6"/>
        <v>116.66666666666667</v>
      </c>
    </row>
    <row r="29" spans="2:15" ht="15.75">
      <c r="B29" s="58">
        <v>26</v>
      </c>
      <c r="C29" s="56" t="s">
        <v>158</v>
      </c>
      <c r="D29" s="42">
        <v>1</v>
      </c>
      <c r="E29" s="42">
        <v>0</v>
      </c>
      <c r="F29" s="42">
        <f t="shared" si="7"/>
        <v>0</v>
      </c>
      <c r="G29" s="42">
        <f t="shared" si="0"/>
        <v>0.6</v>
      </c>
      <c r="H29" s="59">
        <f t="shared" si="1"/>
        <v>0.6</v>
      </c>
      <c r="I29" s="60">
        <f t="shared" si="2"/>
        <v>0</v>
      </c>
      <c r="J29" s="42">
        <v>1.2</v>
      </c>
      <c r="K29" s="42">
        <v>0</v>
      </c>
      <c r="L29" s="42">
        <f t="shared" si="3"/>
        <v>0</v>
      </c>
      <c r="M29" s="42">
        <f t="shared" si="4"/>
        <v>0.72</v>
      </c>
      <c r="N29" s="59">
        <f t="shared" si="5"/>
        <v>0.72</v>
      </c>
      <c r="O29" s="61">
        <f t="shared" si="6"/>
        <v>0</v>
      </c>
    </row>
    <row r="30" spans="2:15" ht="15.75">
      <c r="B30" s="58">
        <v>27</v>
      </c>
      <c r="C30" s="56" t="s">
        <v>159</v>
      </c>
      <c r="D30" s="42">
        <v>2</v>
      </c>
      <c r="E30" s="42">
        <v>0</v>
      </c>
      <c r="F30" s="42">
        <f t="shared" si="7"/>
        <v>0</v>
      </c>
      <c r="G30" s="42">
        <f t="shared" si="0"/>
        <v>1.2</v>
      </c>
      <c r="H30" s="59">
        <f t="shared" si="1"/>
        <v>1.2</v>
      </c>
      <c r="I30" s="60">
        <f t="shared" si="2"/>
        <v>0</v>
      </c>
      <c r="J30" s="42">
        <v>2</v>
      </c>
      <c r="K30" s="42">
        <v>0</v>
      </c>
      <c r="L30" s="42">
        <f t="shared" si="3"/>
        <v>0</v>
      </c>
      <c r="M30" s="42">
        <f t="shared" si="4"/>
        <v>1.2</v>
      </c>
      <c r="N30" s="59">
        <f t="shared" si="5"/>
        <v>1.2</v>
      </c>
      <c r="O30" s="61">
        <f t="shared" si="6"/>
        <v>0</v>
      </c>
    </row>
    <row r="31" spans="2:15" ht="15.75">
      <c r="B31" s="58">
        <v>28</v>
      </c>
      <c r="C31" s="56" t="s">
        <v>160</v>
      </c>
      <c r="D31" s="42">
        <v>0.2</v>
      </c>
      <c r="E31" s="42"/>
      <c r="F31" s="42">
        <f t="shared" si="7"/>
        <v>0</v>
      </c>
      <c r="G31" s="42">
        <f t="shared" si="0"/>
        <v>0.12</v>
      </c>
      <c r="H31" s="59">
        <f t="shared" si="1"/>
        <v>0.12</v>
      </c>
      <c r="I31" s="60">
        <f t="shared" si="2"/>
        <v>0</v>
      </c>
      <c r="J31" s="42">
        <v>0.3</v>
      </c>
      <c r="K31" s="42"/>
      <c r="L31" s="42">
        <f t="shared" si="3"/>
        <v>0</v>
      </c>
      <c r="M31" s="42">
        <f t="shared" si="4"/>
        <v>0.18</v>
      </c>
      <c r="N31" s="59">
        <f t="shared" si="5"/>
        <v>0.18</v>
      </c>
      <c r="O31" s="61">
        <f t="shared" si="6"/>
        <v>0</v>
      </c>
    </row>
    <row r="32" spans="2:15" ht="15.75">
      <c r="B32" s="58">
        <v>29</v>
      </c>
      <c r="C32" s="56" t="s">
        <v>161</v>
      </c>
      <c r="D32" s="42">
        <v>3</v>
      </c>
      <c r="E32" s="42"/>
      <c r="F32" s="42">
        <f t="shared" si="7"/>
        <v>0</v>
      </c>
      <c r="G32" s="42">
        <f t="shared" si="0"/>
        <v>1.7999999999999998</v>
      </c>
      <c r="H32" s="59">
        <f t="shared" si="1"/>
        <v>1.7999999999999998</v>
      </c>
      <c r="I32" s="60">
        <f t="shared" si="2"/>
        <v>0</v>
      </c>
      <c r="J32" s="42">
        <v>4</v>
      </c>
      <c r="K32" s="42"/>
      <c r="L32" s="42">
        <f t="shared" si="3"/>
        <v>0</v>
      </c>
      <c r="M32" s="42">
        <f t="shared" si="4"/>
        <v>2.4</v>
      </c>
      <c r="N32" s="59">
        <f t="shared" si="5"/>
        <v>2.4</v>
      </c>
      <c r="O32" s="61">
        <f t="shared" si="6"/>
        <v>0</v>
      </c>
    </row>
    <row r="33" spans="2:15" ht="21.75" customHeight="1">
      <c r="B33" s="58">
        <v>30</v>
      </c>
      <c r="C33" s="56" t="s">
        <v>162</v>
      </c>
      <c r="D33" s="42">
        <v>3</v>
      </c>
      <c r="E33" s="42"/>
      <c r="F33" s="42">
        <f t="shared" si="7"/>
        <v>0</v>
      </c>
      <c r="G33" s="42">
        <f t="shared" si="0"/>
        <v>1.7999999999999998</v>
      </c>
      <c r="H33" s="59">
        <f t="shared" si="1"/>
        <v>1.7999999999999998</v>
      </c>
      <c r="I33" s="60">
        <f t="shared" si="2"/>
        <v>0</v>
      </c>
      <c r="J33" s="42">
        <v>5</v>
      </c>
      <c r="K33" s="42"/>
      <c r="L33" s="42">
        <f t="shared" si="3"/>
        <v>0</v>
      </c>
      <c r="M33" s="42">
        <f t="shared" si="4"/>
        <v>3</v>
      </c>
      <c r="N33" s="59">
        <f t="shared" si="5"/>
        <v>3</v>
      </c>
      <c r="O33" s="61">
        <f t="shared" si="6"/>
        <v>0</v>
      </c>
    </row>
    <row r="34" spans="2:15" ht="15.75">
      <c r="B34" s="58">
        <v>31</v>
      </c>
      <c r="C34" s="56" t="s">
        <v>163</v>
      </c>
      <c r="D34" s="42">
        <v>2</v>
      </c>
      <c r="E34" s="42"/>
      <c r="F34" s="42">
        <f t="shared" si="7"/>
        <v>0</v>
      </c>
      <c r="G34" s="42">
        <f t="shared" si="0"/>
        <v>1.2</v>
      </c>
      <c r="H34" s="59">
        <f t="shared" si="1"/>
        <v>1.2</v>
      </c>
      <c r="I34" s="60">
        <f t="shared" si="2"/>
        <v>0</v>
      </c>
      <c r="J34" s="42">
        <v>2</v>
      </c>
      <c r="K34" s="42"/>
      <c r="L34" s="42">
        <f t="shared" si="3"/>
        <v>0</v>
      </c>
      <c r="M34" s="42">
        <f t="shared" si="4"/>
        <v>1.2</v>
      </c>
      <c r="N34" s="59">
        <f t="shared" si="5"/>
        <v>1.2</v>
      </c>
      <c r="O34" s="61">
        <f t="shared" si="6"/>
        <v>0</v>
      </c>
    </row>
  </sheetData>
  <mergeCells count="16">
    <mergeCell ref="B2:B3"/>
    <mergeCell ref="C2:C3"/>
    <mergeCell ref="D2:D3"/>
    <mergeCell ref="E2:E3"/>
    <mergeCell ref="F2:F3"/>
    <mergeCell ref="D1:I1"/>
    <mergeCell ref="J1:O1"/>
    <mergeCell ref="G2:G3"/>
    <mergeCell ref="M2:M3"/>
    <mergeCell ref="I2:I3"/>
    <mergeCell ref="J2:J3"/>
    <mergeCell ref="K2:K3"/>
    <mergeCell ref="L2:L3"/>
    <mergeCell ref="N2:N3"/>
    <mergeCell ref="O2:O3"/>
    <mergeCell ref="H2:H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меню</vt:lpstr>
      <vt:lpstr>расчет завтрак</vt:lpstr>
      <vt:lpstr>расчет обед 1-4</vt:lpstr>
      <vt:lpstr>расчет обед 5-11</vt:lpstr>
      <vt:lpstr>норма потребления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2025-04-14T06:58:53Z</dcterms:modified>
</cp:coreProperties>
</file>